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r\Desktop\PARA TRABAJOS 2020-3\ECONOMIA 1\TRABAJO FINAL\"/>
    </mc:Choice>
  </mc:AlternateContent>
  <xr:revisionPtr revIDLastSave="0" documentId="13_ncr:1_{86D9F1CA-F7EB-4E80-A196-E9CB59452129}" xr6:coauthVersionLast="46" xr6:coauthVersionMax="46" xr10:uidLastSave="{00000000-0000-0000-0000-000000000000}"/>
  <bookViews>
    <workbookView xWindow="-165" yWindow="-165" windowWidth="20820" windowHeight="11250" firstSheet="5" activeTab="8" xr2:uid="{914E26C3-278C-4464-86F5-ADDDA3159267}"/>
  </bookViews>
  <sheets>
    <sheet name="DATOS HISTORICOS" sheetId="16" r:id="rId1"/>
    <sheet name="P.PRODUCCION" sheetId="9" r:id="rId2"/>
    <sheet name="TIEMPOS REQUERIDOS" sheetId="11" r:id="rId3"/>
    <sheet name="NOMINA CAMISAS" sheetId="6" r:id="rId4"/>
    <sheet name="NOMINA PANTALONES" sheetId="5" r:id="rId5"/>
    <sheet name="NOMINA CHAQUETAS" sheetId="3" r:id="rId6"/>
    <sheet name="CIF" sheetId="8" r:id="rId7"/>
    <sheet name="CUP" sheetId="14" r:id="rId8"/>
    <sheet name="CONSOLIDG.PRESUPUESTO EFECTIVO" sheetId="12" r:id="rId9"/>
    <sheet name="CONSOLIDADO X PROD." sheetId="13" r:id="rId10"/>
    <sheet name="FLUJOCAJA" sheetId="15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4" l="1"/>
  <c r="G34" i="8"/>
  <c r="H12" i="8"/>
  <c r="G12" i="8"/>
  <c r="V139" i="9"/>
  <c r="H139" i="9"/>
  <c r="Q136" i="9"/>
  <c r="C136" i="9"/>
  <c r="C97" i="15" l="1"/>
  <c r="C93" i="15"/>
  <c r="C92" i="15"/>
  <c r="G89" i="15"/>
  <c r="C88" i="15"/>
  <c r="C87" i="15"/>
  <c r="C86" i="15"/>
  <c r="C79" i="15"/>
  <c r="C73" i="15"/>
  <c r="D73" i="15" s="1"/>
  <c r="D88" i="15" s="1"/>
  <c r="C72" i="15"/>
  <c r="D72" i="15" s="1"/>
  <c r="D93" i="15" s="1"/>
  <c r="C71" i="15"/>
  <c r="D71" i="15" s="1"/>
  <c r="D92" i="15" s="1"/>
  <c r="C70" i="15"/>
  <c r="D70" i="15" s="1"/>
  <c r="D87" i="15" s="1"/>
  <c r="C69" i="15"/>
  <c r="D69" i="15" s="1"/>
  <c r="D86" i="15" s="1"/>
  <c r="P45" i="15"/>
  <c r="T44" i="15"/>
  <c r="M44" i="15"/>
  <c r="L44" i="15"/>
  <c r="D44" i="15"/>
  <c r="M43" i="15"/>
  <c r="L43" i="15"/>
  <c r="N43" i="15" s="1"/>
  <c r="E43" i="15"/>
  <c r="F44" i="15" s="1"/>
  <c r="D43" i="15"/>
  <c r="M42" i="15"/>
  <c r="L42" i="15"/>
  <c r="N42" i="15" s="1"/>
  <c r="P44" i="15" s="1"/>
  <c r="E42" i="15"/>
  <c r="F43" i="15" s="1"/>
  <c r="D42" i="15"/>
  <c r="M41" i="15"/>
  <c r="N41" i="15" s="1"/>
  <c r="P43" i="15" s="1"/>
  <c r="L41" i="15"/>
  <c r="D41" i="15"/>
  <c r="V40" i="15"/>
  <c r="S41" i="15" s="1"/>
  <c r="M40" i="15"/>
  <c r="N40" i="15" s="1"/>
  <c r="P42" i="15" s="1"/>
  <c r="L40" i="15"/>
  <c r="D40" i="15"/>
  <c r="M39" i="15"/>
  <c r="L39" i="15"/>
  <c r="N39" i="15" s="1"/>
  <c r="P41" i="15" s="1"/>
  <c r="D39" i="15"/>
  <c r="P38" i="15"/>
  <c r="M38" i="15"/>
  <c r="L38" i="15"/>
  <c r="N38" i="15" s="1"/>
  <c r="P40" i="15" s="1"/>
  <c r="E38" i="15"/>
  <c r="F39" i="15" s="1"/>
  <c r="D38" i="15"/>
  <c r="N37" i="15"/>
  <c r="P39" i="15" s="1"/>
  <c r="M37" i="15"/>
  <c r="L37" i="15"/>
  <c r="E37" i="15"/>
  <c r="F38" i="15" s="1"/>
  <c r="D37" i="15"/>
  <c r="M36" i="15"/>
  <c r="N36" i="15" s="1"/>
  <c r="L36" i="15"/>
  <c r="D36" i="15"/>
  <c r="U35" i="15"/>
  <c r="M35" i="15"/>
  <c r="L35" i="15"/>
  <c r="N35" i="15" s="1"/>
  <c r="P37" i="15" s="1"/>
  <c r="D35" i="15"/>
  <c r="N34" i="15"/>
  <c r="P36" i="15" s="1"/>
  <c r="M34" i="15"/>
  <c r="L34" i="15"/>
  <c r="F34" i="15"/>
  <c r="E34" i="15"/>
  <c r="D34" i="15"/>
  <c r="F35" i="15" s="1"/>
  <c r="M33" i="15"/>
  <c r="L33" i="15"/>
  <c r="N33" i="15" s="1"/>
  <c r="P35" i="15" s="1"/>
  <c r="D33" i="15"/>
  <c r="E33" i="15" s="1"/>
  <c r="P24" i="15"/>
  <c r="N23" i="15"/>
  <c r="P25" i="15" s="1"/>
  <c r="M23" i="15"/>
  <c r="L23" i="15"/>
  <c r="D23" i="15"/>
  <c r="M22" i="15"/>
  <c r="L22" i="15"/>
  <c r="N22" i="15" s="1"/>
  <c r="D22" i="15"/>
  <c r="M21" i="15"/>
  <c r="L21" i="15"/>
  <c r="N21" i="15" s="1"/>
  <c r="P23" i="15" s="1"/>
  <c r="N84" i="15" s="1"/>
  <c r="F21" i="15"/>
  <c r="D21" i="15"/>
  <c r="L89" i="15" s="1"/>
  <c r="N20" i="15"/>
  <c r="P22" i="15" s="1"/>
  <c r="M84" i="15" s="1"/>
  <c r="M20" i="15"/>
  <c r="L20" i="15"/>
  <c r="E20" i="15"/>
  <c r="D20" i="15"/>
  <c r="N19" i="15"/>
  <c r="P21" i="15" s="1"/>
  <c r="L84" i="15" s="1"/>
  <c r="M19" i="15"/>
  <c r="L19" i="15"/>
  <c r="D19" i="15"/>
  <c r="J89" i="15" s="1"/>
  <c r="M18" i="15"/>
  <c r="L18" i="15"/>
  <c r="N18" i="15" s="1"/>
  <c r="P20" i="15" s="1"/>
  <c r="D18" i="15"/>
  <c r="M17" i="15"/>
  <c r="L17" i="15"/>
  <c r="N17" i="15" s="1"/>
  <c r="P19" i="15" s="1"/>
  <c r="J84" i="15" s="1"/>
  <c r="F17" i="15"/>
  <c r="D17" i="15"/>
  <c r="H89" i="15" s="1"/>
  <c r="N16" i="15"/>
  <c r="P18" i="15" s="1"/>
  <c r="I84" i="15" s="1"/>
  <c r="M16" i="15"/>
  <c r="L16" i="15"/>
  <c r="E16" i="15"/>
  <c r="D16" i="15"/>
  <c r="N15" i="15"/>
  <c r="P17" i="15" s="1"/>
  <c r="H84" i="15" s="1"/>
  <c r="M15" i="15"/>
  <c r="L15" i="15"/>
  <c r="D15" i="15"/>
  <c r="F89" i="15" s="1"/>
  <c r="M14" i="15"/>
  <c r="L14" i="15"/>
  <c r="N14" i="15" s="1"/>
  <c r="P16" i="15" s="1"/>
  <c r="G84" i="15" s="1"/>
  <c r="D14" i="15"/>
  <c r="N13" i="15"/>
  <c r="P15" i="15" s="1"/>
  <c r="F84" i="15" s="1"/>
  <c r="M13" i="15"/>
  <c r="L13" i="15"/>
  <c r="E13" i="15"/>
  <c r="D13" i="15"/>
  <c r="D89" i="15" s="1"/>
  <c r="M12" i="15"/>
  <c r="L12" i="15"/>
  <c r="N12" i="15" s="1"/>
  <c r="P14" i="15" s="1"/>
  <c r="D12" i="15"/>
  <c r="C89" i="15" s="1"/>
  <c r="N89" i="15" l="1"/>
  <c r="E35" i="15"/>
  <c r="F36" i="15" s="1"/>
  <c r="E36" i="15"/>
  <c r="F37" i="15" s="1"/>
  <c r="E84" i="15"/>
  <c r="E89" i="15"/>
  <c r="E14" i="15"/>
  <c r="E15" i="15"/>
  <c r="F78" i="15" s="1"/>
  <c r="H79" i="15"/>
  <c r="I89" i="15"/>
  <c r="E18" i="15"/>
  <c r="I78" i="15" s="1"/>
  <c r="I80" i="15" s="1"/>
  <c r="E19" i="15"/>
  <c r="J78" i="15" s="1"/>
  <c r="M89" i="15"/>
  <c r="E22" i="15"/>
  <c r="M78" i="15" s="1"/>
  <c r="E23" i="15"/>
  <c r="F24" i="15" s="1"/>
  <c r="E40" i="15"/>
  <c r="F41" i="15" s="1"/>
  <c r="F42" i="15"/>
  <c r="L79" i="15" s="1"/>
  <c r="K89" i="15"/>
  <c r="E41" i="15"/>
  <c r="K78" i="15" s="1"/>
  <c r="G78" i="15"/>
  <c r="F40" i="15"/>
  <c r="F16" i="15"/>
  <c r="D78" i="15"/>
  <c r="K84" i="15"/>
  <c r="E44" i="15"/>
  <c r="F45" i="15" s="1"/>
  <c r="E12" i="15"/>
  <c r="F13" i="15" s="1"/>
  <c r="D79" i="15" s="1"/>
  <c r="F14" i="15"/>
  <c r="E79" i="15" s="1"/>
  <c r="E17" i="15"/>
  <c r="H78" i="15" s="1"/>
  <c r="F18" i="15"/>
  <c r="I79" i="15" s="1"/>
  <c r="E21" i="15"/>
  <c r="L78" i="15" s="1"/>
  <c r="F22" i="15"/>
  <c r="M79" i="15" s="1"/>
  <c r="E39" i="15"/>
  <c r="N44" i="15"/>
  <c r="P46" i="15" s="1"/>
  <c r="T64" i="15"/>
  <c r="T63" i="15"/>
  <c r="T62" i="15"/>
  <c r="T61" i="15"/>
  <c r="T60" i="15"/>
  <c r="T59" i="15"/>
  <c r="T58" i="15"/>
  <c r="T57" i="15"/>
  <c r="T56" i="15"/>
  <c r="T55" i="15"/>
  <c r="T54" i="15"/>
  <c r="T53" i="15"/>
  <c r="T52" i="15"/>
  <c r="T51" i="15"/>
  <c r="T50" i="15"/>
  <c r="T49" i="15"/>
  <c r="T48" i="15"/>
  <c r="T47" i="15"/>
  <c r="T46" i="15"/>
  <c r="T41" i="15"/>
  <c r="U41" i="15" s="1"/>
  <c r="T45" i="15"/>
  <c r="T42" i="15"/>
  <c r="T43" i="15"/>
  <c r="E69" i="15"/>
  <c r="E70" i="15"/>
  <c r="E71" i="15"/>
  <c r="E72" i="15"/>
  <c r="E73" i="15"/>
  <c r="C12" i="6"/>
  <c r="E87" i="15" l="1"/>
  <c r="F70" i="15"/>
  <c r="G79" i="15"/>
  <c r="E86" i="15"/>
  <c r="F69" i="15"/>
  <c r="D80" i="15"/>
  <c r="F23" i="15"/>
  <c r="N79" i="15" s="1"/>
  <c r="C78" i="15"/>
  <c r="C80" i="15" s="1"/>
  <c r="C102" i="15" s="1"/>
  <c r="F19" i="15"/>
  <c r="J79" i="15" s="1"/>
  <c r="J80" i="15" s="1"/>
  <c r="E78" i="15"/>
  <c r="E80" i="15" s="1"/>
  <c r="G80" i="15"/>
  <c r="M80" i="15"/>
  <c r="E88" i="15"/>
  <c r="F73" i="15"/>
  <c r="C98" i="15"/>
  <c r="C100" i="15" s="1"/>
  <c r="V41" i="15"/>
  <c r="L80" i="15"/>
  <c r="E93" i="15"/>
  <c r="F72" i="15"/>
  <c r="E92" i="15"/>
  <c r="F71" i="15"/>
  <c r="H80" i="15"/>
  <c r="F20" i="15"/>
  <c r="K79" i="15" s="1"/>
  <c r="K80" i="15" s="1"/>
  <c r="N78" i="15"/>
  <c r="N80" i="15" s="1"/>
  <c r="F15" i="15"/>
  <c r="F79" i="15" s="1"/>
  <c r="F80" i="15" s="1"/>
  <c r="H130" i="9"/>
  <c r="H112" i="9"/>
  <c r="D3" i="12"/>
  <c r="E3" i="12"/>
  <c r="E4" i="12"/>
  <c r="C5" i="12"/>
  <c r="C6" i="12"/>
  <c r="D6" i="12"/>
  <c r="B4" i="12"/>
  <c r="B5" i="12"/>
  <c r="B6" i="12"/>
  <c r="D13" i="12"/>
  <c r="E13" i="12"/>
  <c r="E14" i="12"/>
  <c r="C15" i="12"/>
  <c r="C16" i="12"/>
  <c r="D16" i="12"/>
  <c r="B14" i="12"/>
  <c r="B15" i="12"/>
  <c r="B16" i="12"/>
  <c r="F88" i="15" l="1"/>
  <c r="G73" i="15"/>
  <c r="F87" i="15"/>
  <c r="G70" i="15"/>
  <c r="F93" i="15"/>
  <c r="G72" i="15"/>
  <c r="S42" i="15"/>
  <c r="F92" i="15"/>
  <c r="G71" i="15"/>
  <c r="F86" i="15"/>
  <c r="G69" i="15"/>
  <c r="Y80" i="8"/>
  <c r="Y81" i="8"/>
  <c r="Y79" i="8"/>
  <c r="O80" i="8"/>
  <c r="O81" i="8"/>
  <c r="O79" i="8"/>
  <c r="C80" i="8"/>
  <c r="C81" i="8"/>
  <c r="C79" i="8"/>
  <c r="F19" i="8"/>
  <c r="F18" i="8"/>
  <c r="I67" i="8"/>
  <c r="D67" i="8"/>
  <c r="I66" i="8"/>
  <c r="I65" i="8"/>
  <c r="I64" i="8"/>
  <c r="I63" i="8"/>
  <c r="I54" i="8"/>
  <c r="I53" i="8"/>
  <c r="D53" i="8"/>
  <c r="D66" i="8" s="1"/>
  <c r="I52" i="8"/>
  <c r="I51" i="8"/>
  <c r="I50" i="8"/>
  <c r="F47" i="8"/>
  <c r="I41" i="8"/>
  <c r="D41" i="8"/>
  <c r="I40" i="8"/>
  <c r="D40" i="8"/>
  <c r="D52" i="8" s="1"/>
  <c r="D65" i="8" s="1"/>
  <c r="I39" i="8"/>
  <c r="D39" i="8"/>
  <c r="D51" i="8" s="1"/>
  <c r="D64" i="8" s="1"/>
  <c r="U38" i="8"/>
  <c r="Q38" i="8"/>
  <c r="M38" i="8"/>
  <c r="I38" i="8"/>
  <c r="D38" i="8"/>
  <c r="D50" i="8" s="1"/>
  <c r="D63" i="8" s="1"/>
  <c r="W37" i="8"/>
  <c r="S37" i="8"/>
  <c r="I37" i="8"/>
  <c r="G37" i="8" s="1"/>
  <c r="F37" i="8"/>
  <c r="F49" i="8" s="1"/>
  <c r="D37" i="8"/>
  <c r="D49" i="8" s="1"/>
  <c r="D62" i="8" s="1"/>
  <c r="I36" i="8"/>
  <c r="D36" i="8"/>
  <c r="D48" i="8" s="1"/>
  <c r="D61" i="8" s="1"/>
  <c r="I35" i="8"/>
  <c r="G35" i="8" s="1"/>
  <c r="D35" i="8"/>
  <c r="D47" i="8" s="1"/>
  <c r="D60" i="8" s="1"/>
  <c r="I34" i="8"/>
  <c r="D34" i="8"/>
  <c r="D46" i="8" s="1"/>
  <c r="D59" i="8" s="1"/>
  <c r="I33" i="8"/>
  <c r="D33" i="8"/>
  <c r="D45" i="8" s="1"/>
  <c r="D58" i="8" s="1"/>
  <c r="D32" i="8"/>
  <c r="D44" i="8" s="1"/>
  <c r="G11" i="8"/>
  <c r="G10" i="8"/>
  <c r="H10" i="8" s="1"/>
  <c r="G9" i="8"/>
  <c r="H9" i="8" s="1"/>
  <c r="G8" i="8"/>
  <c r="H8" i="8" s="1"/>
  <c r="H18" i="8" l="1"/>
  <c r="I18" i="8" s="1"/>
  <c r="F26" i="8" s="1"/>
  <c r="S36" i="8"/>
  <c r="H70" i="15"/>
  <c r="G87" i="15"/>
  <c r="H69" i="15"/>
  <c r="G86" i="15"/>
  <c r="H71" i="15"/>
  <c r="G92" i="15"/>
  <c r="D97" i="15"/>
  <c r="U42" i="15"/>
  <c r="H72" i="15"/>
  <c r="G93" i="15"/>
  <c r="H73" i="15"/>
  <c r="G88" i="15"/>
  <c r="F62" i="8"/>
  <c r="I62" i="8" s="1"/>
  <c r="I49" i="8"/>
  <c r="S38" i="8"/>
  <c r="F60" i="8"/>
  <c r="W36" i="8"/>
  <c r="H11" i="8"/>
  <c r="V37" i="8" l="1"/>
  <c r="V38" i="8" s="1"/>
  <c r="F28" i="8"/>
  <c r="N38" i="8"/>
  <c r="R37" i="8"/>
  <c r="R38" i="8" s="1"/>
  <c r="S40" i="8" s="1"/>
  <c r="R42" i="8" s="1"/>
  <c r="F33" i="8" s="1"/>
  <c r="F45" i="8" s="1"/>
  <c r="D27" i="8"/>
  <c r="H88" i="15"/>
  <c r="I73" i="15"/>
  <c r="H86" i="15"/>
  <c r="I69" i="15"/>
  <c r="H93" i="15"/>
  <c r="I72" i="15"/>
  <c r="D100" i="15"/>
  <c r="D102" i="15" s="1"/>
  <c r="D98" i="15"/>
  <c r="V42" i="15"/>
  <c r="H92" i="15"/>
  <c r="I71" i="15"/>
  <c r="H87" i="15"/>
  <c r="I70" i="15"/>
  <c r="O38" i="8"/>
  <c r="W38" i="8"/>
  <c r="W40" i="8" s="1"/>
  <c r="V42" i="8" s="1"/>
  <c r="F36" i="8" s="1"/>
  <c r="O40" i="8" l="1"/>
  <c r="N42" i="8" s="1"/>
  <c r="F27" i="8"/>
  <c r="D28" i="8" s="1"/>
  <c r="F25" i="8"/>
  <c r="D26" i="8" s="1"/>
  <c r="G33" i="8"/>
  <c r="I92" i="15"/>
  <c r="J71" i="15"/>
  <c r="I86" i="15"/>
  <c r="J69" i="15"/>
  <c r="S43" i="15"/>
  <c r="I88" i="15"/>
  <c r="J73" i="15"/>
  <c r="I93" i="15"/>
  <c r="J72" i="15"/>
  <c r="I87" i="15"/>
  <c r="J70" i="15"/>
  <c r="F46" i="8"/>
  <c r="F48" i="8"/>
  <c r="G36" i="8"/>
  <c r="F58" i="8"/>
  <c r="J87" i="15" l="1"/>
  <c r="K70" i="15"/>
  <c r="J86" i="15"/>
  <c r="K69" i="15"/>
  <c r="E97" i="15"/>
  <c r="U43" i="15"/>
  <c r="J88" i="15"/>
  <c r="K73" i="15"/>
  <c r="J93" i="15"/>
  <c r="K72" i="15"/>
  <c r="J92" i="15"/>
  <c r="K71" i="15"/>
  <c r="F61" i="8"/>
  <c r="F59" i="8"/>
  <c r="C7" i="11"/>
  <c r="D7" i="11"/>
  <c r="E7" i="11"/>
  <c r="B7" i="11"/>
  <c r="L73" i="15" l="1"/>
  <c r="K88" i="15"/>
  <c r="L72" i="15"/>
  <c r="K93" i="15"/>
  <c r="L70" i="15"/>
  <c r="K87" i="15"/>
  <c r="L69" i="15"/>
  <c r="K86" i="15"/>
  <c r="E98" i="15"/>
  <c r="V43" i="15"/>
  <c r="L71" i="15"/>
  <c r="K92" i="15"/>
  <c r="E100" i="15"/>
  <c r="E102" i="15" s="1"/>
  <c r="L86" i="15" l="1"/>
  <c r="M69" i="15"/>
  <c r="L93" i="15"/>
  <c r="M72" i="15"/>
  <c r="L92" i="15"/>
  <c r="M71" i="15"/>
  <c r="S44" i="15"/>
  <c r="L87" i="15"/>
  <c r="M70" i="15"/>
  <c r="L88" i="15"/>
  <c r="M73" i="15"/>
  <c r="AJ139" i="9"/>
  <c r="AJ146" i="9" s="1"/>
  <c r="AE136" i="9"/>
  <c r="AJ75" i="9"/>
  <c r="V75" i="9"/>
  <c r="H75" i="9"/>
  <c r="F97" i="15" l="1"/>
  <c r="U44" i="15"/>
  <c r="M87" i="15"/>
  <c r="N70" i="15"/>
  <c r="N87" i="15" s="1"/>
  <c r="M86" i="15"/>
  <c r="N69" i="15"/>
  <c r="N86" i="15" s="1"/>
  <c r="M92" i="15"/>
  <c r="N71" i="15"/>
  <c r="N92" i="15" s="1"/>
  <c r="M88" i="15"/>
  <c r="N73" i="15"/>
  <c r="N88" i="15" s="1"/>
  <c r="M93" i="15"/>
  <c r="N72" i="15"/>
  <c r="N93" i="15" s="1"/>
  <c r="V56" i="9"/>
  <c r="U56" i="9"/>
  <c r="AJ121" i="9"/>
  <c r="AJ103" i="9"/>
  <c r="AG44" i="9"/>
  <c r="AF44" i="9"/>
  <c r="AF37" i="9"/>
  <c r="AE37" i="9"/>
  <c r="AH35" i="9"/>
  <c r="AG35" i="9"/>
  <c r="AH34" i="9"/>
  <c r="AG34" i="9"/>
  <c r="AH33" i="9"/>
  <c r="AG33" i="9"/>
  <c r="AH32" i="9"/>
  <c r="AG32" i="9"/>
  <c r="AH31" i="9"/>
  <c r="AG31" i="9"/>
  <c r="AH30" i="9"/>
  <c r="AG30" i="9"/>
  <c r="AH29" i="9"/>
  <c r="AG29" i="9"/>
  <c r="AH28" i="9"/>
  <c r="AG28" i="9"/>
  <c r="AH27" i="9"/>
  <c r="AG27" i="9"/>
  <c r="S44" i="9"/>
  <c r="R44" i="9"/>
  <c r="R37" i="9"/>
  <c r="Q37" i="9"/>
  <c r="T35" i="9"/>
  <c r="S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F98" i="15" l="1"/>
  <c r="F100" i="15" s="1"/>
  <c r="F102" i="15" s="1"/>
  <c r="V44" i="15"/>
  <c r="T37" i="9"/>
  <c r="AH37" i="9"/>
  <c r="AG37" i="9"/>
  <c r="S37" i="9"/>
  <c r="E44" i="9"/>
  <c r="D44" i="9"/>
  <c r="D37" i="9"/>
  <c r="C37" i="9"/>
  <c r="F35" i="9"/>
  <c r="E35" i="9"/>
  <c r="F34" i="9"/>
  <c r="E34" i="9"/>
  <c r="F33" i="9"/>
  <c r="E33" i="9"/>
  <c r="F32" i="9"/>
  <c r="E32" i="9"/>
  <c r="F31" i="9"/>
  <c r="E31" i="9"/>
  <c r="F30" i="9"/>
  <c r="E30" i="9"/>
  <c r="F29" i="9"/>
  <c r="E29" i="9"/>
  <c r="F28" i="9"/>
  <c r="E28" i="9"/>
  <c r="F27" i="9"/>
  <c r="E27" i="9"/>
  <c r="AF41" i="9" l="1"/>
  <c r="S45" i="15"/>
  <c r="R40" i="9"/>
  <c r="AF40" i="9"/>
  <c r="AG43" i="9" s="1"/>
  <c r="F37" i="9"/>
  <c r="R41" i="9"/>
  <c r="E37" i="9"/>
  <c r="V130" i="9"/>
  <c r="V145" i="9" s="1"/>
  <c r="V112" i="9"/>
  <c r="V143" i="9" s="1"/>
  <c r="V103" i="9"/>
  <c r="V142" i="9" s="1"/>
  <c r="AJ145" i="9"/>
  <c r="AJ144" i="9"/>
  <c r="AE127" i="9"/>
  <c r="AE118" i="9"/>
  <c r="AE109" i="9"/>
  <c r="AJ142" i="9"/>
  <c r="AE100" i="9"/>
  <c r="AJ68" i="9"/>
  <c r="AJ56" i="9"/>
  <c r="AI56" i="9"/>
  <c r="AG23" i="9"/>
  <c r="AF23" i="9"/>
  <c r="AE48" i="9" s="1"/>
  <c r="AF16" i="9"/>
  <c r="AE16" i="9"/>
  <c r="AH14" i="9"/>
  <c r="AG14" i="9"/>
  <c r="AH13" i="9"/>
  <c r="AG13" i="9"/>
  <c r="AH12" i="9"/>
  <c r="AG12" i="9"/>
  <c r="AH11" i="9"/>
  <c r="AG11" i="9"/>
  <c r="AH10" i="9"/>
  <c r="AG10" i="9"/>
  <c r="AH9" i="9"/>
  <c r="AG9" i="9"/>
  <c r="AH8" i="9"/>
  <c r="AG8" i="9"/>
  <c r="AH7" i="9"/>
  <c r="AG7" i="9"/>
  <c r="AH6" i="9"/>
  <c r="AG6" i="9"/>
  <c r="Q127" i="9"/>
  <c r="Q118" i="9"/>
  <c r="Q109" i="9"/>
  <c r="Q100" i="9"/>
  <c r="V68" i="9"/>
  <c r="S23" i="9"/>
  <c r="R23" i="9"/>
  <c r="Q48" i="9" s="1"/>
  <c r="R16" i="9"/>
  <c r="Q16" i="9"/>
  <c r="T14" i="9"/>
  <c r="S14" i="9"/>
  <c r="T13" i="9"/>
  <c r="S13" i="9"/>
  <c r="T12" i="9"/>
  <c r="S12" i="9"/>
  <c r="T11" i="9"/>
  <c r="S11" i="9"/>
  <c r="T10" i="9"/>
  <c r="S10" i="9"/>
  <c r="T9" i="9"/>
  <c r="S9" i="9"/>
  <c r="T8" i="9"/>
  <c r="S8" i="9"/>
  <c r="T7" i="9"/>
  <c r="S7" i="9"/>
  <c r="T6" i="9"/>
  <c r="S6" i="9"/>
  <c r="H145" i="9"/>
  <c r="H143" i="9"/>
  <c r="C127" i="9"/>
  <c r="C118" i="9"/>
  <c r="C109" i="9"/>
  <c r="H103" i="9"/>
  <c r="H142" i="9" s="1"/>
  <c r="C100" i="9"/>
  <c r="G74" i="9"/>
  <c r="H74" i="9"/>
  <c r="G58" i="9"/>
  <c r="H58" i="9"/>
  <c r="H68" i="9"/>
  <c r="H56" i="9"/>
  <c r="G56" i="9"/>
  <c r="E23" i="9"/>
  <c r="D23" i="9"/>
  <c r="C48" i="9" s="1"/>
  <c r="D16" i="9"/>
  <c r="C16" i="9"/>
  <c r="F14" i="9"/>
  <c r="E14" i="9"/>
  <c r="F13" i="9"/>
  <c r="E13" i="9"/>
  <c r="F12" i="9"/>
  <c r="E12" i="9"/>
  <c r="F11" i="9"/>
  <c r="E11" i="9"/>
  <c r="F10" i="9"/>
  <c r="E10" i="9"/>
  <c r="F9" i="9"/>
  <c r="E9" i="9"/>
  <c r="F8" i="9"/>
  <c r="E8" i="9"/>
  <c r="F7" i="9"/>
  <c r="E7" i="9"/>
  <c r="F6" i="9"/>
  <c r="E6" i="9"/>
  <c r="G75" i="9" l="1"/>
  <c r="H76" i="9" s="1"/>
  <c r="H77" i="9" s="1"/>
  <c r="H78" i="9" s="1"/>
  <c r="R43" i="9"/>
  <c r="G97" i="15"/>
  <c r="U45" i="15"/>
  <c r="AF43" i="9"/>
  <c r="D40" i="9"/>
  <c r="S43" i="9"/>
  <c r="D41" i="9"/>
  <c r="E16" i="9"/>
  <c r="F16" i="9"/>
  <c r="T16" i="9"/>
  <c r="AG16" i="9"/>
  <c r="AH16" i="9"/>
  <c r="V74" i="9"/>
  <c r="U74" i="9"/>
  <c r="U75" i="9" s="1"/>
  <c r="S16" i="9"/>
  <c r="H116" i="9" l="1"/>
  <c r="G117" i="9" s="1"/>
  <c r="H118" i="9" s="1"/>
  <c r="H107" i="9"/>
  <c r="H134" i="9"/>
  <c r="G135" i="9" s="1"/>
  <c r="H136" i="9" s="1"/>
  <c r="D20" i="9"/>
  <c r="G98" i="15"/>
  <c r="V45" i="15"/>
  <c r="G100" i="15"/>
  <c r="G102" i="15" s="1"/>
  <c r="D43" i="9"/>
  <c r="E43" i="9"/>
  <c r="H121" i="9"/>
  <c r="H144" i="9" s="1"/>
  <c r="H148" i="9" s="1"/>
  <c r="H98" i="9"/>
  <c r="D19" i="9"/>
  <c r="U10" i="9" s="1"/>
  <c r="V10" i="9" s="1"/>
  <c r="AF20" i="9"/>
  <c r="H125" i="9"/>
  <c r="G126" i="9" s="1"/>
  <c r="H127" i="9" s="1"/>
  <c r="R19" i="9"/>
  <c r="AF19" i="9"/>
  <c r="R20" i="9"/>
  <c r="V76" i="9"/>
  <c r="V77" i="9" s="1"/>
  <c r="V78" i="9" s="1"/>
  <c r="V134" i="9" s="1"/>
  <c r="U135" i="9" s="1"/>
  <c r="V136" i="9" s="1"/>
  <c r="G6" i="9" l="1"/>
  <c r="H6" i="9" s="1"/>
  <c r="S46" i="15"/>
  <c r="G99" i="9"/>
  <c r="H100" i="9" s="1"/>
  <c r="G108" i="9"/>
  <c r="H109" i="9" s="1"/>
  <c r="G10" i="9"/>
  <c r="H10" i="9" s="1"/>
  <c r="U11" i="9"/>
  <c r="V11" i="9" s="1"/>
  <c r="AG22" i="9"/>
  <c r="G11" i="9"/>
  <c r="H11" i="9" s="1"/>
  <c r="G7" i="9"/>
  <c r="H7" i="9" s="1"/>
  <c r="AI6" i="9"/>
  <c r="AJ6" i="9" s="1"/>
  <c r="AI8" i="9"/>
  <c r="AJ8" i="9" s="1"/>
  <c r="AI10" i="9"/>
  <c r="AJ10" i="9" s="1"/>
  <c r="U12" i="9"/>
  <c r="V12" i="9" s="1"/>
  <c r="AI11" i="9"/>
  <c r="AJ11" i="9" s="1"/>
  <c r="E22" i="9"/>
  <c r="U8" i="9"/>
  <c r="V8" i="9" s="1"/>
  <c r="U7" i="9"/>
  <c r="V7" i="9" s="1"/>
  <c r="U6" i="9"/>
  <c r="AI9" i="9"/>
  <c r="AJ9" i="9" s="1"/>
  <c r="G8" i="9"/>
  <c r="H8" i="9" s="1"/>
  <c r="D22" i="9"/>
  <c r="G12" i="9"/>
  <c r="H12" i="9" s="1"/>
  <c r="G9" i="9"/>
  <c r="H9" i="9" s="1"/>
  <c r="AI12" i="9"/>
  <c r="AJ12" i="9" s="1"/>
  <c r="U9" i="9"/>
  <c r="V9" i="9" s="1"/>
  <c r="AI7" i="9"/>
  <c r="AJ7" i="9" s="1"/>
  <c r="AI32" i="9"/>
  <c r="AJ32" i="9" s="1"/>
  <c r="AI28" i="9"/>
  <c r="AJ28" i="9" s="1"/>
  <c r="U31" i="9"/>
  <c r="V31" i="9" s="1"/>
  <c r="U27" i="9"/>
  <c r="U32" i="9"/>
  <c r="V32" i="9" s="1"/>
  <c r="AI27" i="9"/>
  <c r="AI33" i="9"/>
  <c r="AJ33" i="9" s="1"/>
  <c r="AI29" i="9"/>
  <c r="AJ29" i="9" s="1"/>
  <c r="U28" i="9"/>
  <c r="V28" i="9" s="1"/>
  <c r="AI31" i="9"/>
  <c r="AJ31" i="9" s="1"/>
  <c r="AI30" i="9"/>
  <c r="AJ30" i="9" s="1"/>
  <c r="U33" i="9"/>
  <c r="V33" i="9" s="1"/>
  <c r="U29" i="9"/>
  <c r="V29" i="9" s="1"/>
  <c r="U30" i="9"/>
  <c r="V30" i="9" s="1"/>
  <c r="G30" i="9"/>
  <c r="H30" i="9" s="1"/>
  <c r="G31" i="9"/>
  <c r="H31" i="9" s="1"/>
  <c r="G27" i="9"/>
  <c r="G32" i="9"/>
  <c r="H32" i="9" s="1"/>
  <c r="G28" i="9"/>
  <c r="H28" i="9" s="1"/>
  <c r="G33" i="9"/>
  <c r="H33" i="9" s="1"/>
  <c r="G29" i="9"/>
  <c r="H29" i="9" s="1"/>
  <c r="R22" i="9"/>
  <c r="R48" i="9" s="1"/>
  <c r="R54" i="9" s="1"/>
  <c r="AF22" i="9"/>
  <c r="AF48" i="9" s="1"/>
  <c r="AF54" i="9" s="1"/>
  <c r="V98" i="9"/>
  <c r="V116" i="9"/>
  <c r="V107" i="9"/>
  <c r="V125" i="9"/>
  <c r="S22" i="9"/>
  <c r="D48" i="9" l="1"/>
  <c r="C54" i="9" s="1"/>
  <c r="U117" i="9"/>
  <c r="U99" i="9"/>
  <c r="V100" i="9" s="1"/>
  <c r="U126" i="9"/>
  <c r="V127" i="9" s="1"/>
  <c r="U108" i="9"/>
  <c r="V109" i="9" s="1"/>
  <c r="U16" i="9"/>
  <c r="AJ16" i="9"/>
  <c r="V6" i="9"/>
  <c r="V16" i="9" s="1"/>
  <c r="H16" i="9"/>
  <c r="H97" i="15"/>
  <c r="U46" i="15"/>
  <c r="G16" i="9"/>
  <c r="AI16" i="9"/>
  <c r="V118" i="9"/>
  <c r="AJ27" i="9"/>
  <c r="AJ37" i="9" s="1"/>
  <c r="AI37" i="9"/>
  <c r="U37" i="9"/>
  <c r="V27" i="9"/>
  <c r="V37" i="9" s="1"/>
  <c r="AE54" i="9"/>
  <c r="AH54" i="9" s="1"/>
  <c r="Q54" i="9"/>
  <c r="T54" i="9" s="1"/>
  <c r="H27" i="9"/>
  <c r="H37" i="9" s="1"/>
  <c r="G37" i="9"/>
  <c r="D54" i="9" l="1"/>
  <c r="F54" i="9" s="1"/>
  <c r="E57" i="9" s="1"/>
  <c r="E74" i="9" s="1"/>
  <c r="V119" i="9"/>
  <c r="V121" i="9" s="1"/>
  <c r="V144" i="9" s="1"/>
  <c r="V148" i="9" s="1"/>
  <c r="T57" i="9"/>
  <c r="T58" i="9" s="1"/>
  <c r="R57" i="9"/>
  <c r="R58" i="9" s="1"/>
  <c r="S57" i="9"/>
  <c r="S74" i="9" s="1"/>
  <c r="Q57" i="9"/>
  <c r="Q74" i="9" s="1"/>
  <c r="D57" i="9"/>
  <c r="D74" i="9" s="1"/>
  <c r="F57" i="9"/>
  <c r="F58" i="9" s="1"/>
  <c r="H98" i="15"/>
  <c r="V46" i="15"/>
  <c r="H100" i="15"/>
  <c r="H102" i="15" s="1"/>
  <c r="AG57" i="9"/>
  <c r="AG58" i="9" s="1"/>
  <c r="AH57" i="9"/>
  <c r="AH58" i="9" s="1"/>
  <c r="AE57" i="9"/>
  <c r="AE74" i="9" s="1"/>
  <c r="AF57" i="9"/>
  <c r="AF58" i="9" s="1"/>
  <c r="D75" i="9" l="1"/>
  <c r="C57" i="9"/>
  <c r="C58" i="9" s="1"/>
  <c r="F74" i="9"/>
  <c r="F75" i="9" s="1"/>
  <c r="G76" i="9" s="1"/>
  <c r="G77" i="9" s="1"/>
  <c r="G78" i="9" s="1"/>
  <c r="G134" i="9" s="1"/>
  <c r="F135" i="9" s="1"/>
  <c r="G136" i="9" s="1"/>
  <c r="G137" i="9" s="1"/>
  <c r="G139" i="9" s="1"/>
  <c r="G146" i="9" s="1"/>
  <c r="AF74" i="9"/>
  <c r="S58" i="9"/>
  <c r="R74" i="9"/>
  <c r="C74" i="9"/>
  <c r="C75" i="9" s="1"/>
  <c r="D76" i="9" s="1"/>
  <c r="D58" i="9"/>
  <c r="E58" i="9"/>
  <c r="S47" i="15"/>
  <c r="T74" i="9"/>
  <c r="T75" i="9" s="1"/>
  <c r="U76" i="9" s="1"/>
  <c r="U77" i="9" s="1"/>
  <c r="U78" i="9" s="1"/>
  <c r="U134" i="9" s="1"/>
  <c r="T135" i="9" s="1"/>
  <c r="U136" i="9" s="1"/>
  <c r="U137" i="9" s="1"/>
  <c r="U139" i="9" s="1"/>
  <c r="U146" i="9" s="1"/>
  <c r="AH74" i="9"/>
  <c r="AE58" i="9"/>
  <c r="Q58" i="9"/>
  <c r="AG74" i="9"/>
  <c r="AJ58" i="9"/>
  <c r="AJ74" i="9"/>
  <c r="AI58" i="9"/>
  <c r="AI74" i="9"/>
  <c r="E76" i="9"/>
  <c r="AG75" i="9" l="1"/>
  <c r="E75" i="9"/>
  <c r="F76" i="9" s="1"/>
  <c r="F77" i="9" s="1"/>
  <c r="F78" i="9" s="1"/>
  <c r="F134" i="9" s="1"/>
  <c r="AH75" i="9"/>
  <c r="R75" i="9"/>
  <c r="S76" i="9" s="1"/>
  <c r="S77" i="9" s="1"/>
  <c r="S78" i="9" s="1"/>
  <c r="S75" i="9"/>
  <c r="T76" i="9" s="1"/>
  <c r="T77" i="9" s="1"/>
  <c r="T78" i="9" s="1"/>
  <c r="Q75" i="9"/>
  <c r="R76" i="9" s="1"/>
  <c r="AI75" i="9"/>
  <c r="AF75" i="9"/>
  <c r="AG76" i="9" s="1"/>
  <c r="U107" i="9"/>
  <c r="U125" i="9"/>
  <c r="U116" i="9"/>
  <c r="U98" i="9"/>
  <c r="T99" i="9" s="1"/>
  <c r="U100" i="9" s="1"/>
  <c r="U101" i="9" s="1"/>
  <c r="U103" i="9" s="1"/>
  <c r="U142" i="9" s="1"/>
  <c r="G107" i="9"/>
  <c r="G125" i="9"/>
  <c r="G98" i="9"/>
  <c r="F99" i="9" s="1"/>
  <c r="G100" i="9" s="1"/>
  <c r="G101" i="9" s="1"/>
  <c r="G103" i="9" s="1"/>
  <c r="G142" i="9" s="1"/>
  <c r="G116" i="9"/>
  <c r="AE75" i="9"/>
  <c r="AF76" i="9" s="1"/>
  <c r="F116" i="9"/>
  <c r="H77" i="8"/>
  <c r="I97" i="15"/>
  <c r="U47" i="15"/>
  <c r="T107" i="9"/>
  <c r="T116" i="9"/>
  <c r="T125" i="9"/>
  <c r="T98" i="9"/>
  <c r="E11" i="11"/>
  <c r="F21" i="11" s="1"/>
  <c r="AJ76" i="9"/>
  <c r="AJ77" i="9" s="1"/>
  <c r="AJ78" i="9" s="1"/>
  <c r="AJ134" i="9" s="1"/>
  <c r="AI135" i="9" s="1"/>
  <c r="AJ136" i="9" s="1"/>
  <c r="AH76" i="9"/>
  <c r="C77" i="9"/>
  <c r="C78" i="9" s="1"/>
  <c r="E77" i="9"/>
  <c r="E78" i="9" s="1"/>
  <c r="F125" i="9"/>
  <c r="E10" i="11"/>
  <c r="D77" i="9"/>
  <c r="D78" i="9" s="1"/>
  <c r="D134" i="9" s="1"/>
  <c r="C135" i="9" s="1"/>
  <c r="D136" i="9" s="1"/>
  <c r="AE77" i="9"/>
  <c r="AE78" i="9" s="1"/>
  <c r="AA77" i="8" s="1"/>
  <c r="F107" i="9" l="1"/>
  <c r="E108" i="9" s="1"/>
  <c r="F109" i="9" s="1"/>
  <c r="F98" i="9"/>
  <c r="E99" i="9" s="1"/>
  <c r="F100" i="9" s="1"/>
  <c r="F101" i="9" s="1"/>
  <c r="F103" i="9" s="1"/>
  <c r="F142" i="9" s="1"/>
  <c r="Q77" i="9"/>
  <c r="Q78" i="9" s="1"/>
  <c r="Q134" i="9" s="1"/>
  <c r="G77" i="8"/>
  <c r="G81" i="8" s="1"/>
  <c r="E134" i="9"/>
  <c r="E135" i="9"/>
  <c r="F136" i="9" s="1"/>
  <c r="F137" i="9" s="1"/>
  <c r="F139" i="9" s="1"/>
  <c r="F146" i="9" s="1"/>
  <c r="E126" i="9"/>
  <c r="F127" i="9" s="1"/>
  <c r="E77" i="8"/>
  <c r="E97" i="8" s="1"/>
  <c r="C134" i="9"/>
  <c r="E117" i="9"/>
  <c r="F118" i="9" s="1"/>
  <c r="S116" i="9"/>
  <c r="S134" i="9"/>
  <c r="R135" i="9" s="1"/>
  <c r="S136" i="9" s="1"/>
  <c r="T126" i="9"/>
  <c r="U127" i="9" s="1"/>
  <c r="U128" i="9" s="1"/>
  <c r="T77" i="8"/>
  <c r="Q107" i="8" s="1"/>
  <c r="T134" i="9"/>
  <c r="R77" i="9"/>
  <c r="R78" i="9" s="1"/>
  <c r="R116" i="9" s="1"/>
  <c r="F117" i="9"/>
  <c r="T117" i="9"/>
  <c r="U118" i="9" s="1"/>
  <c r="U119" i="9" s="1"/>
  <c r="F126" i="9"/>
  <c r="G127" i="9" s="1"/>
  <c r="F108" i="9"/>
  <c r="G109" i="9" s="1"/>
  <c r="G110" i="9" s="1"/>
  <c r="G112" i="9" s="1"/>
  <c r="G143" i="9" s="1"/>
  <c r="T108" i="9"/>
  <c r="U109" i="9" s="1"/>
  <c r="U110" i="9" s="1"/>
  <c r="U112" i="9" s="1"/>
  <c r="U143" i="9" s="1"/>
  <c r="AA111" i="8"/>
  <c r="AA79" i="8"/>
  <c r="AA97" i="8"/>
  <c r="AA104" i="8"/>
  <c r="AA80" i="8"/>
  <c r="AA81" i="8"/>
  <c r="F22" i="11"/>
  <c r="D11" i="11"/>
  <c r="E22" i="11" s="1"/>
  <c r="S77" i="8"/>
  <c r="D116" i="9"/>
  <c r="F77" i="8"/>
  <c r="E100" i="8"/>
  <c r="E114" i="8"/>
  <c r="E107" i="8"/>
  <c r="H81" i="8"/>
  <c r="H79" i="8"/>
  <c r="H80" i="8"/>
  <c r="I98" i="15"/>
  <c r="V47" i="15"/>
  <c r="I100" i="15"/>
  <c r="I102" i="15" s="1"/>
  <c r="AE134" i="9"/>
  <c r="B12" i="11"/>
  <c r="S117" i="9"/>
  <c r="T118" i="9" s="1"/>
  <c r="S126" i="9"/>
  <c r="T127" i="9" s="1"/>
  <c r="S108" i="9"/>
  <c r="T109" i="9" s="1"/>
  <c r="S99" i="9"/>
  <c r="T100" i="9" s="1"/>
  <c r="T101" i="9" s="1"/>
  <c r="T103" i="9" s="1"/>
  <c r="T142" i="9" s="1"/>
  <c r="E125" i="9"/>
  <c r="E116" i="9"/>
  <c r="F20" i="11"/>
  <c r="S107" i="9"/>
  <c r="S125" i="9"/>
  <c r="S98" i="9"/>
  <c r="AG77" i="9"/>
  <c r="AG78" i="9" s="1"/>
  <c r="AJ116" i="9"/>
  <c r="AI117" i="9" s="1"/>
  <c r="AJ118" i="9" s="1"/>
  <c r="AJ107" i="9"/>
  <c r="AJ98" i="9"/>
  <c r="AJ125" i="9"/>
  <c r="AI126" i="9" s="1"/>
  <c r="AJ127" i="9" s="1"/>
  <c r="AJ128" i="9" s="1"/>
  <c r="AF77" i="9"/>
  <c r="AF78" i="9" s="1"/>
  <c r="Q107" i="9"/>
  <c r="AE125" i="9"/>
  <c r="AE116" i="9"/>
  <c r="AE107" i="9"/>
  <c r="AE98" i="9"/>
  <c r="AI76" i="9"/>
  <c r="AI77" i="9" s="1"/>
  <c r="AI78" i="9" s="1"/>
  <c r="AI134" i="9" s="1"/>
  <c r="AH135" i="9" s="1"/>
  <c r="AI136" i="9" s="1"/>
  <c r="AH77" i="9"/>
  <c r="AH78" i="9" s="1"/>
  <c r="AD77" i="8" s="1"/>
  <c r="E107" i="9"/>
  <c r="D10" i="11"/>
  <c r="E18" i="11" s="1"/>
  <c r="E98" i="9"/>
  <c r="D107" i="9"/>
  <c r="C108" i="9" s="1"/>
  <c r="C10" i="11"/>
  <c r="D98" i="9"/>
  <c r="C99" i="9" s="1"/>
  <c r="D125" i="9"/>
  <c r="C79" i="9"/>
  <c r="F18" i="11"/>
  <c r="F16" i="11"/>
  <c r="F17" i="11"/>
  <c r="C116" i="9"/>
  <c r="C107" i="9"/>
  <c r="B10" i="11"/>
  <c r="C16" i="11" s="1"/>
  <c r="C98" i="9"/>
  <c r="C125" i="9"/>
  <c r="F23" i="11" l="1"/>
  <c r="Q125" i="9"/>
  <c r="Q77" i="8"/>
  <c r="Q79" i="8" s="1"/>
  <c r="Q116" i="9"/>
  <c r="F119" i="9"/>
  <c r="F121" i="9" s="1"/>
  <c r="F144" i="9" s="1"/>
  <c r="F110" i="9"/>
  <c r="F112" i="9" s="1"/>
  <c r="F143" i="9" s="1"/>
  <c r="Q100" i="8"/>
  <c r="E79" i="8"/>
  <c r="E106" i="8"/>
  <c r="Q98" i="9"/>
  <c r="B11" i="11"/>
  <c r="C21" i="11" s="1"/>
  <c r="Q114" i="8"/>
  <c r="C137" i="9"/>
  <c r="C139" i="9" s="1"/>
  <c r="C146" i="9" s="1"/>
  <c r="T81" i="8"/>
  <c r="E111" i="8"/>
  <c r="E99" i="8"/>
  <c r="E113" i="8"/>
  <c r="F128" i="9"/>
  <c r="F130" i="9" s="1"/>
  <c r="F145" i="9" s="1"/>
  <c r="E81" i="8"/>
  <c r="E104" i="8"/>
  <c r="G79" i="8"/>
  <c r="G80" i="8"/>
  <c r="E80" i="8"/>
  <c r="C117" i="9"/>
  <c r="D118" i="9" s="1"/>
  <c r="D117" i="9"/>
  <c r="E118" i="9" s="1"/>
  <c r="E119" i="9" s="1"/>
  <c r="E121" i="9" s="1"/>
  <c r="E144" i="9" s="1"/>
  <c r="C126" i="9"/>
  <c r="D127" i="9" s="1"/>
  <c r="D135" i="9"/>
  <c r="D126" i="9"/>
  <c r="E127" i="9" s="1"/>
  <c r="E128" i="9" s="1"/>
  <c r="E130" i="9" s="1"/>
  <c r="E145" i="9" s="1"/>
  <c r="G128" i="9"/>
  <c r="G130" i="9" s="1"/>
  <c r="G145" i="9" s="1"/>
  <c r="R77" i="8"/>
  <c r="R134" i="9"/>
  <c r="E20" i="11"/>
  <c r="R126" i="9"/>
  <c r="S127" i="9" s="1"/>
  <c r="S128" i="9" s="1"/>
  <c r="R98" i="9"/>
  <c r="Q99" i="9" s="1"/>
  <c r="R100" i="9" s="1"/>
  <c r="R125" i="9"/>
  <c r="Q79" i="9"/>
  <c r="I11" i="14" s="1"/>
  <c r="S135" i="9"/>
  <c r="T136" i="9" s="1"/>
  <c r="T137" i="9" s="1"/>
  <c r="T139" i="9" s="1"/>
  <c r="T146" i="9" s="1"/>
  <c r="U130" i="9"/>
  <c r="U145" i="9" s="1"/>
  <c r="Q117" i="9"/>
  <c r="U121" i="9"/>
  <c r="U144" i="9" s="1"/>
  <c r="T119" i="9"/>
  <c r="T121" i="9" s="1"/>
  <c r="T144" i="9" s="1"/>
  <c r="C11" i="11"/>
  <c r="D20" i="11" s="1"/>
  <c r="R107" i="9"/>
  <c r="Q108" i="9" s="1"/>
  <c r="R109" i="9" s="1"/>
  <c r="T110" i="9"/>
  <c r="T112" i="9" s="1"/>
  <c r="T143" i="9" s="1"/>
  <c r="T79" i="8"/>
  <c r="T80" i="8"/>
  <c r="T128" i="9"/>
  <c r="T130" i="9" s="1"/>
  <c r="T145" i="9" s="1"/>
  <c r="R117" i="9"/>
  <c r="S118" i="9" s="1"/>
  <c r="S119" i="9" s="1"/>
  <c r="S121" i="9" s="1"/>
  <c r="S144" i="9" s="1"/>
  <c r="G118" i="9"/>
  <c r="AI108" i="9"/>
  <c r="AJ109" i="9" s="1"/>
  <c r="AJ110" i="9" s="1"/>
  <c r="AJ143" i="9" s="1"/>
  <c r="AJ148" i="9" s="1"/>
  <c r="AI99" i="9"/>
  <c r="AJ100" i="9" s="1"/>
  <c r="D12" i="11"/>
  <c r="E25" i="11" s="1"/>
  <c r="AC77" i="8"/>
  <c r="AG98" i="9"/>
  <c r="AF99" i="9" s="1"/>
  <c r="AG100" i="9" s="1"/>
  <c r="AA114" i="8"/>
  <c r="AA100" i="8"/>
  <c r="AD81" i="8"/>
  <c r="AA107" i="8"/>
  <c r="AD79" i="8"/>
  <c r="AD80" i="8"/>
  <c r="C12" i="11"/>
  <c r="D25" i="11" s="1"/>
  <c r="AB77" i="8"/>
  <c r="E21" i="11"/>
  <c r="S80" i="8"/>
  <c r="S81" i="8"/>
  <c r="Q113" i="8"/>
  <c r="S79" i="8"/>
  <c r="Q99" i="8"/>
  <c r="Q106" i="8"/>
  <c r="E112" i="8"/>
  <c r="E98" i="8"/>
  <c r="F81" i="8"/>
  <c r="F79" i="8"/>
  <c r="F80" i="8"/>
  <c r="E105" i="8"/>
  <c r="I4" i="14"/>
  <c r="I77" i="8"/>
  <c r="E89" i="8" s="1"/>
  <c r="S48" i="15"/>
  <c r="AH134" i="9"/>
  <c r="AG135" i="9" s="1"/>
  <c r="AH136" i="9" s="1"/>
  <c r="E12" i="11"/>
  <c r="C24" i="11"/>
  <c r="C26" i="11"/>
  <c r="C25" i="11"/>
  <c r="E31" i="11"/>
  <c r="E36" i="11"/>
  <c r="L41" i="5" s="1"/>
  <c r="M41" i="5" s="1"/>
  <c r="N41" i="5" s="1"/>
  <c r="R108" i="9"/>
  <c r="S109" i="9" s="1"/>
  <c r="S110" i="9" s="1"/>
  <c r="S112" i="9" s="1"/>
  <c r="S143" i="9" s="1"/>
  <c r="R99" i="9"/>
  <c r="S100" i="9" s="1"/>
  <c r="S101" i="9" s="1"/>
  <c r="S103" i="9" s="1"/>
  <c r="S142" i="9" s="1"/>
  <c r="D108" i="9"/>
  <c r="E109" i="9" s="1"/>
  <c r="E110" i="9" s="1"/>
  <c r="E112" i="9" s="1"/>
  <c r="E143" i="9" s="1"/>
  <c r="F19" i="11"/>
  <c r="D99" i="9"/>
  <c r="E100" i="9" s="1"/>
  <c r="E101" i="9" s="1"/>
  <c r="E103" i="9" s="1"/>
  <c r="E142" i="9" s="1"/>
  <c r="E17" i="11"/>
  <c r="AI137" i="9"/>
  <c r="AI139" i="9" s="1"/>
  <c r="AI146" i="9" s="1"/>
  <c r="AF98" i="9"/>
  <c r="AE99" i="9" s="1"/>
  <c r="AF134" i="9"/>
  <c r="AE135" i="9" s="1"/>
  <c r="AF136" i="9" s="1"/>
  <c r="AG107" i="9"/>
  <c r="AG134" i="9"/>
  <c r="AF135" i="9" s="1"/>
  <c r="AG136" i="9" s="1"/>
  <c r="AG116" i="9"/>
  <c r="AF117" i="9" s="1"/>
  <c r="AG118" i="9" s="1"/>
  <c r="AG125" i="9"/>
  <c r="AF126" i="9" s="1"/>
  <c r="AG127" i="9" s="1"/>
  <c r="E16" i="11"/>
  <c r="AE79" i="9"/>
  <c r="I17" i="14" s="1"/>
  <c r="AF107" i="9"/>
  <c r="AF125" i="9"/>
  <c r="AF116" i="9"/>
  <c r="AH125" i="9"/>
  <c r="AH116" i="9"/>
  <c r="AG117" i="9" s="1"/>
  <c r="AH118" i="9" s="1"/>
  <c r="AH107" i="9"/>
  <c r="AG108" i="9" s="1"/>
  <c r="AH98" i="9"/>
  <c r="AG99" i="9" s="1"/>
  <c r="AI125" i="9"/>
  <c r="AI116" i="9"/>
  <c r="AH117" i="9" s="1"/>
  <c r="AI118" i="9" s="1"/>
  <c r="AI107" i="9"/>
  <c r="AI98" i="9"/>
  <c r="D109" i="9"/>
  <c r="D18" i="11"/>
  <c r="D16" i="11"/>
  <c r="D17" i="11"/>
  <c r="C17" i="11"/>
  <c r="C18" i="11"/>
  <c r="D100" i="9"/>
  <c r="Q104" i="8" l="1"/>
  <c r="C22" i="11"/>
  <c r="Q81" i="8"/>
  <c r="Q97" i="8"/>
  <c r="Q80" i="8"/>
  <c r="Q111" i="8"/>
  <c r="Q119" i="9"/>
  <c r="Q121" i="9" s="1"/>
  <c r="Q144" i="9" s="1"/>
  <c r="U77" i="8"/>
  <c r="Q89" i="8" s="1"/>
  <c r="I79" i="8"/>
  <c r="K79" i="8" s="1"/>
  <c r="C20" i="11"/>
  <c r="C23" i="11" s="1"/>
  <c r="T157" i="9"/>
  <c r="F157" i="9"/>
  <c r="I80" i="8"/>
  <c r="K80" i="8" s="1"/>
  <c r="I81" i="8"/>
  <c r="K81" i="8" s="1"/>
  <c r="C119" i="9"/>
  <c r="C121" i="9" s="1"/>
  <c r="C144" i="9" s="1"/>
  <c r="D22" i="11"/>
  <c r="G119" i="9"/>
  <c r="G121" i="9" s="1"/>
  <c r="G144" i="9" s="1"/>
  <c r="G148" i="9" s="1"/>
  <c r="D119" i="9"/>
  <c r="D121" i="9" s="1"/>
  <c r="D144" i="9" s="1"/>
  <c r="E136" i="9"/>
  <c r="E137" i="9" s="1"/>
  <c r="E139" i="9" s="1"/>
  <c r="E146" i="9" s="1"/>
  <c r="E156" i="9" s="1"/>
  <c r="D137" i="9"/>
  <c r="D139" i="9" s="1"/>
  <c r="D146" i="9" s="1"/>
  <c r="E26" i="11"/>
  <c r="D21" i="11"/>
  <c r="E24" i="11"/>
  <c r="U148" i="9"/>
  <c r="D128" i="9"/>
  <c r="D130" i="9" s="1"/>
  <c r="D145" i="9" s="1"/>
  <c r="C128" i="9"/>
  <c r="C130" i="9" s="1"/>
  <c r="C145" i="9" s="1"/>
  <c r="T148" i="9"/>
  <c r="F11" i="14" s="1"/>
  <c r="S137" i="9"/>
  <c r="S139" i="9" s="1"/>
  <c r="S146" i="9" s="1"/>
  <c r="Q135" i="9"/>
  <c r="R118" i="9"/>
  <c r="R119" i="9" s="1"/>
  <c r="R121" i="9" s="1"/>
  <c r="R144" i="9" s="1"/>
  <c r="E23" i="11"/>
  <c r="D36" i="11" s="1"/>
  <c r="Q126" i="9"/>
  <c r="Q98" i="8"/>
  <c r="R79" i="8"/>
  <c r="R80" i="8"/>
  <c r="Q105" i="8"/>
  <c r="Q112" i="8"/>
  <c r="R81" i="8"/>
  <c r="S130" i="9"/>
  <c r="S145" i="9" s="1"/>
  <c r="F148" i="9"/>
  <c r="F4" i="14" s="1"/>
  <c r="D110" i="9"/>
  <c r="D112" i="9" s="1"/>
  <c r="D143" i="9" s="1"/>
  <c r="D26" i="11"/>
  <c r="AH126" i="9"/>
  <c r="AI127" i="9" s="1"/>
  <c r="AI128" i="9" s="1"/>
  <c r="AI130" i="9" s="1"/>
  <c r="AI145" i="9" s="1"/>
  <c r="AH99" i="9"/>
  <c r="AI100" i="9" s="1"/>
  <c r="AI101" i="9" s="1"/>
  <c r="AI103" i="9" s="1"/>
  <c r="AI142" i="9" s="1"/>
  <c r="AH108" i="9"/>
  <c r="AI109" i="9" s="1"/>
  <c r="AI110" i="9" s="1"/>
  <c r="AI112" i="9" s="1"/>
  <c r="AI143" i="9" s="1"/>
  <c r="D101" i="9"/>
  <c r="D103" i="9" s="1"/>
  <c r="D142" i="9" s="1"/>
  <c r="D24" i="11"/>
  <c r="F21" i="8"/>
  <c r="H21" i="8" s="1"/>
  <c r="G47" i="8" s="1"/>
  <c r="AC80" i="8"/>
  <c r="AA113" i="8"/>
  <c r="AA99" i="8"/>
  <c r="AC79" i="8"/>
  <c r="AC81" i="8"/>
  <c r="AA106" i="8"/>
  <c r="AA105" i="8"/>
  <c r="AB79" i="8"/>
  <c r="AA112" i="8"/>
  <c r="AB80" i="8"/>
  <c r="AA98" i="8"/>
  <c r="AB81" i="8"/>
  <c r="AE77" i="8"/>
  <c r="AA89" i="8" s="1"/>
  <c r="E41" i="11"/>
  <c r="Q101" i="9"/>
  <c r="Q103" i="9" s="1"/>
  <c r="Q142" i="9" s="1"/>
  <c r="R101" i="9"/>
  <c r="R103" i="9" s="1"/>
  <c r="R142" i="9" s="1"/>
  <c r="J97" i="15"/>
  <c r="U48" i="15"/>
  <c r="AH137" i="9"/>
  <c r="AH139" i="9" s="1"/>
  <c r="AH146" i="9" s="1"/>
  <c r="R110" i="9"/>
  <c r="R112" i="9" s="1"/>
  <c r="R143" i="9" s="1"/>
  <c r="AE108" i="9"/>
  <c r="AE110" i="9" s="1"/>
  <c r="AE112" i="9" s="1"/>
  <c r="AE143" i="9" s="1"/>
  <c r="AF108" i="9"/>
  <c r="AG109" i="9" s="1"/>
  <c r="AG110" i="9" s="1"/>
  <c r="AG112" i="9" s="1"/>
  <c r="AG143" i="9" s="1"/>
  <c r="F25" i="11"/>
  <c r="F24" i="11"/>
  <c r="F26" i="11"/>
  <c r="AE117" i="9"/>
  <c r="AF118" i="9" s="1"/>
  <c r="AF119" i="9" s="1"/>
  <c r="AF121" i="9" s="1"/>
  <c r="AF144" i="9" s="1"/>
  <c r="AE126" i="9"/>
  <c r="AG126" i="9"/>
  <c r="AH127" i="9" s="1"/>
  <c r="C27" i="11"/>
  <c r="Q110" i="9"/>
  <c r="Q112" i="9" s="1"/>
  <c r="Q143" i="9" s="1"/>
  <c r="E19" i="11"/>
  <c r="D30" i="11" s="1"/>
  <c r="C19" i="11"/>
  <c r="D19" i="11"/>
  <c r="E30" i="11"/>
  <c r="E35" i="11"/>
  <c r="AE137" i="9"/>
  <c r="AE139" i="9" s="1"/>
  <c r="AE146" i="9" s="1"/>
  <c r="AF137" i="9"/>
  <c r="AF139" i="9" s="1"/>
  <c r="AF146" i="9" s="1"/>
  <c r="AG137" i="9"/>
  <c r="AG139" i="9" s="1"/>
  <c r="AG146" i="9" s="1"/>
  <c r="AF100" i="9"/>
  <c r="AF101" i="9" s="1"/>
  <c r="AF103" i="9" s="1"/>
  <c r="AF142" i="9" s="1"/>
  <c r="AE101" i="9"/>
  <c r="AE103" i="9" s="1"/>
  <c r="AE142" i="9" s="1"/>
  <c r="AI119" i="9"/>
  <c r="AI121" i="9" s="1"/>
  <c r="AI144" i="9" s="1"/>
  <c r="AH119" i="9"/>
  <c r="AH121" i="9" s="1"/>
  <c r="AH144" i="9" s="1"/>
  <c r="AH109" i="9"/>
  <c r="AH100" i="9"/>
  <c r="AG101" i="9"/>
  <c r="AG119" i="9"/>
  <c r="AG121" i="9" s="1"/>
  <c r="AG144" i="9" s="1"/>
  <c r="C101" i="9"/>
  <c r="C103" i="9" s="1"/>
  <c r="C142" i="9" s="1"/>
  <c r="C110" i="9"/>
  <c r="C112" i="9" s="1"/>
  <c r="C143" i="9" s="1"/>
  <c r="C7" i="3"/>
  <c r="C7" i="5"/>
  <c r="C7" i="6"/>
  <c r="C5" i="6"/>
  <c r="C6" i="6"/>
  <c r="U81" i="8" l="1"/>
  <c r="W81" i="8" s="1"/>
  <c r="U80" i="8"/>
  <c r="W80" i="8" s="1"/>
  <c r="U79" i="8"/>
  <c r="W79" i="8" s="1"/>
  <c r="D31" i="11"/>
  <c r="I82" i="8"/>
  <c r="I83" i="8" s="1"/>
  <c r="E88" i="8" s="1"/>
  <c r="F89" i="8" s="1"/>
  <c r="D23" i="11"/>
  <c r="C36" i="11" s="1"/>
  <c r="C41" i="11" s="1"/>
  <c r="B35" i="11"/>
  <c r="B40" i="11" s="1"/>
  <c r="B30" i="11"/>
  <c r="S156" i="9"/>
  <c r="C154" i="9"/>
  <c r="E148" i="9"/>
  <c r="F156" i="9" s="1"/>
  <c r="F158" i="9" s="1"/>
  <c r="H7" i="13" s="1"/>
  <c r="G157" i="9"/>
  <c r="G158" i="9" s="1"/>
  <c r="AE79" i="8"/>
  <c r="B36" i="11"/>
  <c r="C41" i="5" s="1"/>
  <c r="D41" i="5" s="1"/>
  <c r="E41" i="5" s="1"/>
  <c r="D155" i="9"/>
  <c r="E27" i="11"/>
  <c r="D37" i="11" s="1"/>
  <c r="U157" i="9"/>
  <c r="U158" i="9" s="1"/>
  <c r="R127" i="9"/>
  <c r="Q128" i="9"/>
  <c r="Q130" i="9" s="1"/>
  <c r="Q145" i="9" s="1"/>
  <c r="R136" i="9"/>
  <c r="R137" i="9" s="1"/>
  <c r="R139" i="9" s="1"/>
  <c r="R146" i="9" s="1"/>
  <c r="Q137" i="9"/>
  <c r="Q139" i="9" s="1"/>
  <c r="Q146" i="9" s="1"/>
  <c r="S148" i="9"/>
  <c r="E11" i="14" s="1"/>
  <c r="D148" i="9"/>
  <c r="D4" i="14" s="1"/>
  <c r="AH128" i="9"/>
  <c r="AH130" i="9" s="1"/>
  <c r="AH145" i="9" s="1"/>
  <c r="D27" i="11"/>
  <c r="AH101" i="9"/>
  <c r="AH103" i="9" s="1"/>
  <c r="AH142" i="9" s="1"/>
  <c r="G48" i="8"/>
  <c r="I48" i="8" s="1"/>
  <c r="G46" i="8"/>
  <c r="G59" i="8" s="1"/>
  <c r="I59" i="8" s="1"/>
  <c r="C32" i="11"/>
  <c r="G45" i="8"/>
  <c r="I45" i="8" s="1"/>
  <c r="AE80" i="8"/>
  <c r="AG80" i="8" s="1"/>
  <c r="AE81" i="8"/>
  <c r="AG81" i="8" s="1"/>
  <c r="AG79" i="8"/>
  <c r="B31" i="11"/>
  <c r="D41" i="11"/>
  <c r="I41" i="5"/>
  <c r="J41" i="5" s="1"/>
  <c r="K41" i="5" s="1"/>
  <c r="D35" i="11"/>
  <c r="D40" i="11" s="1"/>
  <c r="G60" i="8"/>
  <c r="I60" i="8" s="1"/>
  <c r="I47" i="8"/>
  <c r="E40" i="11"/>
  <c r="L41" i="6"/>
  <c r="M41" i="6" s="1"/>
  <c r="N41" i="6" s="1"/>
  <c r="K82" i="8"/>
  <c r="J79" i="8"/>
  <c r="J98" i="15"/>
  <c r="V48" i="15"/>
  <c r="J100" i="15"/>
  <c r="J102" i="15" s="1"/>
  <c r="AE119" i="9"/>
  <c r="AE121" i="9" s="1"/>
  <c r="AE144" i="9" s="1"/>
  <c r="AG128" i="9"/>
  <c r="AG130" i="9" s="1"/>
  <c r="AG145" i="9" s="1"/>
  <c r="AF127" i="9"/>
  <c r="AF128" i="9" s="1"/>
  <c r="AF130" i="9" s="1"/>
  <c r="AF145" i="9" s="1"/>
  <c r="AE128" i="9"/>
  <c r="AE130" i="9" s="1"/>
  <c r="AE145" i="9" s="1"/>
  <c r="F27" i="11"/>
  <c r="E37" i="11" s="1"/>
  <c r="AF109" i="9"/>
  <c r="AF110" i="9" s="1"/>
  <c r="AF112" i="9" s="1"/>
  <c r="AF143" i="9" s="1"/>
  <c r="B37" i="11"/>
  <c r="B32" i="11"/>
  <c r="C35" i="11"/>
  <c r="C30" i="11"/>
  <c r="AH110" i="9"/>
  <c r="AH112" i="9" s="1"/>
  <c r="AH143" i="9" s="1"/>
  <c r="C148" i="9"/>
  <c r="AI148" i="9"/>
  <c r="AG103" i="9"/>
  <c r="AG142" i="9" s="1"/>
  <c r="U82" i="8" l="1"/>
  <c r="U83" i="8" s="1"/>
  <c r="Q88" i="8" s="1"/>
  <c r="R89" i="8" s="1"/>
  <c r="J80" i="8"/>
  <c r="J81" i="8"/>
  <c r="E94" i="8" s="1"/>
  <c r="E4" i="14"/>
  <c r="C41" i="6"/>
  <c r="D41" i="6" s="1"/>
  <c r="E41" i="6" s="1"/>
  <c r="D32" i="11"/>
  <c r="F41" i="5"/>
  <c r="G41" i="5" s="1"/>
  <c r="H41" i="5" s="1"/>
  <c r="C31" i="11"/>
  <c r="B41" i="11"/>
  <c r="E155" i="9"/>
  <c r="Q148" i="9"/>
  <c r="C11" i="14" s="1"/>
  <c r="Q154" i="9"/>
  <c r="Q158" i="9" s="1"/>
  <c r="E16" i="13" s="1"/>
  <c r="C37" i="11"/>
  <c r="C42" i="11" s="1"/>
  <c r="T156" i="9"/>
  <c r="T158" i="9" s="1"/>
  <c r="H16" i="13" s="1"/>
  <c r="R128" i="9"/>
  <c r="R130" i="9" s="1"/>
  <c r="R145" i="9" s="1"/>
  <c r="R155" i="9" s="1"/>
  <c r="G61" i="8"/>
  <c r="I61" i="8" s="1"/>
  <c r="I41" i="6"/>
  <c r="J41" i="6" s="1"/>
  <c r="K41" i="6" s="1"/>
  <c r="I46" i="8"/>
  <c r="G58" i="8"/>
  <c r="I58" i="8" s="1"/>
  <c r="AE82" i="8"/>
  <c r="AE83" i="8" s="1"/>
  <c r="AF79" i="8" s="1"/>
  <c r="AG82" i="8"/>
  <c r="D42" i="11"/>
  <c r="I41" i="3"/>
  <c r="J41" i="3" s="1"/>
  <c r="K41" i="3" s="1"/>
  <c r="B42" i="11"/>
  <c r="C41" i="3"/>
  <c r="D41" i="3" s="1"/>
  <c r="E41" i="3" s="1"/>
  <c r="V80" i="8"/>
  <c r="Q93" i="8" s="1"/>
  <c r="S104" i="8" s="1"/>
  <c r="S106" i="8" s="1"/>
  <c r="V79" i="8"/>
  <c r="Q92" i="8" s="1"/>
  <c r="S97" i="8" s="1"/>
  <c r="W82" i="8"/>
  <c r="V81" i="8"/>
  <c r="Q94" i="8" s="1"/>
  <c r="S111" i="8" s="1"/>
  <c r="C158" i="9"/>
  <c r="E7" i="13" s="1"/>
  <c r="C40" i="11"/>
  <c r="F41" i="6"/>
  <c r="G41" i="6" s="1"/>
  <c r="H41" i="6" s="1"/>
  <c r="E93" i="8"/>
  <c r="E92" i="8"/>
  <c r="G97" i="8" s="1"/>
  <c r="G98" i="8" s="1"/>
  <c r="D154" i="9"/>
  <c r="C4" i="14"/>
  <c r="S49" i="15"/>
  <c r="AF155" i="9"/>
  <c r="AF148" i="9"/>
  <c r="AE148" i="9"/>
  <c r="AE154" i="9"/>
  <c r="AE158" i="9" s="1"/>
  <c r="E25" i="13" s="1"/>
  <c r="E32" i="11"/>
  <c r="AH157" i="9"/>
  <c r="E16" i="12" s="1"/>
  <c r="AG156" i="9"/>
  <c r="D15" i="12" s="1"/>
  <c r="AG148" i="9"/>
  <c r="E17" i="14" s="1"/>
  <c r="AH148" i="9"/>
  <c r="F17" i="14" s="1"/>
  <c r="E158" i="9"/>
  <c r="G7" i="13" s="1"/>
  <c r="H13" i="3"/>
  <c r="D13" i="3"/>
  <c r="N11" i="3"/>
  <c r="N36" i="3" s="1"/>
  <c r="M11" i="3"/>
  <c r="M36" i="3" s="1"/>
  <c r="L11" i="3"/>
  <c r="L36" i="3" s="1"/>
  <c r="K11" i="3"/>
  <c r="K36" i="3" s="1"/>
  <c r="J11" i="3"/>
  <c r="J36" i="3" s="1"/>
  <c r="I11" i="3"/>
  <c r="I36" i="3" s="1"/>
  <c r="H11" i="3"/>
  <c r="H36" i="3" s="1"/>
  <c r="G11" i="3"/>
  <c r="G36" i="3" s="1"/>
  <c r="F11" i="3"/>
  <c r="F36" i="3" s="1"/>
  <c r="E11" i="3"/>
  <c r="E36" i="3" s="1"/>
  <c r="D11" i="3"/>
  <c r="D36" i="3" s="1"/>
  <c r="C11" i="3"/>
  <c r="C36" i="3" s="1"/>
  <c r="K13" i="3"/>
  <c r="C6" i="3"/>
  <c r="C5" i="3"/>
  <c r="M13" i="5"/>
  <c r="L13" i="5"/>
  <c r="I13" i="5"/>
  <c r="H13" i="5"/>
  <c r="E13" i="5"/>
  <c r="D13" i="5"/>
  <c r="N11" i="5"/>
  <c r="N36" i="5" s="1"/>
  <c r="M11" i="5"/>
  <c r="M36" i="5" s="1"/>
  <c r="L11" i="5"/>
  <c r="L36" i="5" s="1"/>
  <c r="K11" i="5"/>
  <c r="K36" i="5" s="1"/>
  <c r="J11" i="5"/>
  <c r="J36" i="5" s="1"/>
  <c r="I11" i="5"/>
  <c r="I36" i="5" s="1"/>
  <c r="H11" i="5"/>
  <c r="H36" i="5" s="1"/>
  <c r="G11" i="5"/>
  <c r="G36" i="5" s="1"/>
  <c r="F11" i="5"/>
  <c r="F36" i="5" s="1"/>
  <c r="E11" i="5"/>
  <c r="E36" i="5" s="1"/>
  <c r="D11" i="5"/>
  <c r="C11" i="5"/>
  <c r="C36" i="5" s="1"/>
  <c r="K13" i="5"/>
  <c r="C6" i="5"/>
  <c r="C5" i="5"/>
  <c r="I13" i="6"/>
  <c r="N11" i="6"/>
  <c r="N36" i="6" s="1"/>
  <c r="M11" i="6"/>
  <c r="M36" i="6" s="1"/>
  <c r="L11" i="6"/>
  <c r="L36" i="6" s="1"/>
  <c r="K11" i="6"/>
  <c r="K36" i="6" s="1"/>
  <c r="J11" i="6"/>
  <c r="J36" i="6" s="1"/>
  <c r="I11" i="6"/>
  <c r="I36" i="6" s="1"/>
  <c r="H11" i="6"/>
  <c r="H36" i="6" s="1"/>
  <c r="G11" i="6"/>
  <c r="G36" i="6" s="1"/>
  <c r="F11" i="6"/>
  <c r="F36" i="6" s="1"/>
  <c r="E11" i="6"/>
  <c r="E36" i="6" s="1"/>
  <c r="D11" i="6"/>
  <c r="D36" i="6" s="1"/>
  <c r="C11" i="6"/>
  <c r="C36" i="6" s="1"/>
  <c r="F49" i="6" s="1"/>
  <c r="M13" i="6"/>
  <c r="J82" i="8" l="1"/>
  <c r="G111" i="8"/>
  <c r="G113" i="8"/>
  <c r="G4" i="14"/>
  <c r="R154" i="9"/>
  <c r="R158" i="9" s="1"/>
  <c r="F16" i="13" s="1"/>
  <c r="F41" i="3"/>
  <c r="G41" i="3" s="1"/>
  <c r="H41" i="3" s="1"/>
  <c r="D46" i="3" s="1"/>
  <c r="E17" i="5"/>
  <c r="R148" i="9"/>
  <c r="D11" i="14" s="1"/>
  <c r="C14" i="12"/>
  <c r="S107" i="8"/>
  <c r="H69" i="8"/>
  <c r="E83" i="8" s="1"/>
  <c r="AF81" i="8"/>
  <c r="AA84" i="8"/>
  <c r="AA88" i="8"/>
  <c r="AB89" i="8" s="1"/>
  <c r="AA92" i="8" s="1"/>
  <c r="AC97" i="8" s="1"/>
  <c r="AC98" i="8" s="1"/>
  <c r="E84" i="8"/>
  <c r="Q84" i="8"/>
  <c r="AF80" i="8"/>
  <c r="AG155" i="9"/>
  <c r="AG158" i="9" s="1"/>
  <c r="G25" i="13" s="1"/>
  <c r="D17" i="14"/>
  <c r="E42" i="11"/>
  <c r="L41" i="3"/>
  <c r="M41" i="3" s="1"/>
  <c r="N41" i="3" s="1"/>
  <c r="AF154" i="9"/>
  <c r="AF158" i="9" s="1"/>
  <c r="F25" i="13" s="1"/>
  <c r="C17" i="14"/>
  <c r="B13" i="12"/>
  <c r="B17" i="12" s="1"/>
  <c r="B34" i="12" s="1"/>
  <c r="S105" i="8"/>
  <c r="S113" i="8"/>
  <c r="S114" i="8"/>
  <c r="S112" i="8"/>
  <c r="S99" i="8"/>
  <c r="S100" i="8"/>
  <c r="S98" i="8"/>
  <c r="G112" i="8"/>
  <c r="D158" i="9"/>
  <c r="F7" i="13" s="1"/>
  <c r="G114" i="8"/>
  <c r="G105" i="8"/>
  <c r="G104" i="8"/>
  <c r="G106" i="8"/>
  <c r="G107" i="8"/>
  <c r="G99" i="8"/>
  <c r="G100" i="8"/>
  <c r="K97" i="15"/>
  <c r="U49" i="15"/>
  <c r="M17" i="5"/>
  <c r="M18" i="5" s="1"/>
  <c r="M31" i="5" s="1"/>
  <c r="L13" i="3"/>
  <c r="L17" i="3" s="1"/>
  <c r="AH156" i="9"/>
  <c r="AI157" i="9"/>
  <c r="AI158" i="9" s="1"/>
  <c r="D17" i="5"/>
  <c r="D33" i="5" s="1"/>
  <c r="I17" i="5"/>
  <c r="I33" i="5" s="1"/>
  <c r="H17" i="5"/>
  <c r="H18" i="5" s="1"/>
  <c r="H20" i="5" s="1"/>
  <c r="L17" i="5"/>
  <c r="L33" i="5" s="1"/>
  <c r="D17" i="3"/>
  <c r="E13" i="3"/>
  <c r="E17" i="3" s="1"/>
  <c r="I13" i="3"/>
  <c r="I17" i="3" s="1"/>
  <c r="M13" i="3"/>
  <c r="M17" i="3" s="1"/>
  <c r="H17" i="3"/>
  <c r="F13" i="3"/>
  <c r="F17" i="3" s="1"/>
  <c r="J13" i="3"/>
  <c r="J17" i="3" s="1"/>
  <c r="N13" i="3"/>
  <c r="N17" i="3" s="1"/>
  <c r="C13" i="3"/>
  <c r="C17" i="3" s="1"/>
  <c r="G13" i="3"/>
  <c r="G17" i="3" s="1"/>
  <c r="K17" i="3"/>
  <c r="M29" i="5"/>
  <c r="M24" i="5"/>
  <c r="M21" i="5"/>
  <c r="M30" i="5"/>
  <c r="M26" i="5"/>
  <c r="M23" i="5"/>
  <c r="M20" i="5"/>
  <c r="E34" i="5"/>
  <c r="E35" i="5" s="1"/>
  <c r="E33" i="5"/>
  <c r="E18" i="5"/>
  <c r="D36" i="5"/>
  <c r="F49" i="5" s="1"/>
  <c r="M34" i="5"/>
  <c r="M35" i="5" s="1"/>
  <c r="M33" i="5"/>
  <c r="F13" i="5"/>
  <c r="F17" i="5" s="1"/>
  <c r="J13" i="5"/>
  <c r="J17" i="5" s="1"/>
  <c r="N13" i="5"/>
  <c r="N17" i="5" s="1"/>
  <c r="C13" i="5"/>
  <c r="C17" i="5" s="1"/>
  <c r="G13" i="5"/>
  <c r="G17" i="5" s="1"/>
  <c r="K17" i="5"/>
  <c r="J13" i="6"/>
  <c r="J17" i="6" s="1"/>
  <c r="E13" i="6"/>
  <c r="E17" i="6" s="1"/>
  <c r="I17" i="6"/>
  <c r="M17" i="6"/>
  <c r="M33" i="6" s="1"/>
  <c r="K13" i="6"/>
  <c r="K17" i="6" s="1"/>
  <c r="G13" i="6"/>
  <c r="G17" i="6" s="1"/>
  <c r="C13" i="6"/>
  <c r="C17" i="6" s="1"/>
  <c r="L13" i="6"/>
  <c r="L17" i="6" s="1"/>
  <c r="L33" i="6" s="1"/>
  <c r="H13" i="6"/>
  <c r="H17" i="6" s="1"/>
  <c r="D13" i="6"/>
  <c r="D17" i="6" s="1"/>
  <c r="F13" i="6"/>
  <c r="F17" i="6" s="1"/>
  <c r="N13" i="6"/>
  <c r="N17" i="6" s="1"/>
  <c r="N33" i="6" s="1"/>
  <c r="E86" i="8" l="1"/>
  <c r="AB104" i="8" s="1"/>
  <c r="Q83" i="8"/>
  <c r="AA83" i="8"/>
  <c r="AA86" i="8" s="1"/>
  <c r="F47" i="3"/>
  <c r="F48" i="3"/>
  <c r="F46" i="3"/>
  <c r="F49" i="3"/>
  <c r="G11" i="14"/>
  <c r="S155" i="9"/>
  <c r="S158" i="9" s="1"/>
  <c r="G16" i="13" s="1"/>
  <c r="AA94" i="8"/>
  <c r="AC113" i="8" s="1"/>
  <c r="C13" i="12"/>
  <c r="C17" i="12" s="1"/>
  <c r="C34" i="12" s="1"/>
  <c r="AA93" i="8"/>
  <c r="AC104" i="8" s="1"/>
  <c r="G17" i="14"/>
  <c r="AF82" i="8"/>
  <c r="AC99" i="8"/>
  <c r="AC100" i="8"/>
  <c r="AH158" i="9"/>
  <c r="H25" i="13" s="1"/>
  <c r="E15" i="12"/>
  <c r="E17" i="12" s="1"/>
  <c r="E34" i="12" s="1"/>
  <c r="K98" i="15"/>
  <c r="V49" i="15"/>
  <c r="K100" i="15"/>
  <c r="K102" i="15" s="1"/>
  <c r="H34" i="5"/>
  <c r="H35" i="5" s="1"/>
  <c r="D34" i="5"/>
  <c r="D35" i="5" s="1"/>
  <c r="D18" i="5"/>
  <c r="D30" i="5" s="1"/>
  <c r="L34" i="5"/>
  <c r="L35" i="5" s="1"/>
  <c r="H33" i="5"/>
  <c r="L18" i="5"/>
  <c r="L20" i="5" s="1"/>
  <c r="H29" i="5"/>
  <c r="H26" i="5"/>
  <c r="H23" i="5"/>
  <c r="H31" i="5"/>
  <c r="I18" i="5"/>
  <c r="I23" i="5" s="1"/>
  <c r="I34" i="5"/>
  <c r="I35" i="5" s="1"/>
  <c r="M38" i="5"/>
  <c r="H30" i="5"/>
  <c r="H24" i="5"/>
  <c r="H21" i="5"/>
  <c r="H38" i="5"/>
  <c r="M40" i="5"/>
  <c r="M42" i="5" s="1"/>
  <c r="E34" i="3"/>
  <c r="E35" i="3" s="1"/>
  <c r="E33" i="3"/>
  <c r="E18" i="3"/>
  <c r="J34" i="3"/>
  <c r="J35" i="3" s="1"/>
  <c r="J33" i="3"/>
  <c r="J18" i="3"/>
  <c r="M34" i="3"/>
  <c r="M35" i="3" s="1"/>
  <c r="M33" i="3"/>
  <c r="M18" i="3"/>
  <c r="F34" i="3"/>
  <c r="F35" i="3" s="1"/>
  <c r="F33" i="3"/>
  <c r="F18" i="3"/>
  <c r="N34" i="3"/>
  <c r="N35" i="3" s="1"/>
  <c r="N33" i="3"/>
  <c r="N18" i="3"/>
  <c r="C34" i="3"/>
  <c r="C33" i="3"/>
  <c r="C18" i="3"/>
  <c r="L34" i="3"/>
  <c r="L35" i="3" s="1"/>
  <c r="L18" i="3"/>
  <c r="L33" i="3"/>
  <c r="G34" i="3"/>
  <c r="G35" i="3" s="1"/>
  <c r="G33" i="3"/>
  <c r="G18" i="3"/>
  <c r="I34" i="3"/>
  <c r="I35" i="3" s="1"/>
  <c r="I33" i="3"/>
  <c r="I18" i="3"/>
  <c r="H33" i="3"/>
  <c r="H34" i="3"/>
  <c r="H35" i="3" s="1"/>
  <c r="H18" i="3"/>
  <c r="D34" i="3"/>
  <c r="D35" i="3" s="1"/>
  <c r="D33" i="3"/>
  <c r="D18" i="3"/>
  <c r="K34" i="3"/>
  <c r="K35" i="3" s="1"/>
  <c r="K33" i="3"/>
  <c r="K18" i="3"/>
  <c r="C34" i="5"/>
  <c r="C33" i="5"/>
  <c r="C18" i="5"/>
  <c r="N34" i="5"/>
  <c r="N35" i="5" s="1"/>
  <c r="N33" i="5"/>
  <c r="N18" i="5"/>
  <c r="G34" i="5"/>
  <c r="G35" i="5" s="1"/>
  <c r="G33" i="5"/>
  <c r="G18" i="5"/>
  <c r="J34" i="5"/>
  <c r="J35" i="5" s="1"/>
  <c r="J33" i="5"/>
  <c r="F46" i="5" s="1"/>
  <c r="J18" i="5"/>
  <c r="F34" i="5"/>
  <c r="F35" i="5" s="1"/>
  <c r="F33" i="5"/>
  <c r="F18" i="5"/>
  <c r="K34" i="5"/>
  <c r="K35" i="5" s="1"/>
  <c r="K33" i="5"/>
  <c r="K18" i="5"/>
  <c r="M39" i="5"/>
  <c r="E31" i="5"/>
  <c r="E29" i="5"/>
  <c r="E24" i="5"/>
  <c r="E21" i="5"/>
  <c r="E30" i="5"/>
  <c r="E26" i="5"/>
  <c r="E23" i="5"/>
  <c r="E20" i="5"/>
  <c r="C34" i="6"/>
  <c r="C33" i="6"/>
  <c r="C18" i="6"/>
  <c r="E34" i="6"/>
  <c r="E35" i="6" s="1"/>
  <c r="E33" i="6"/>
  <c r="E18" i="6"/>
  <c r="F34" i="6"/>
  <c r="F35" i="6" s="1"/>
  <c r="F18" i="6"/>
  <c r="F33" i="6"/>
  <c r="N34" i="6"/>
  <c r="N35" i="6" s="1"/>
  <c r="N18" i="6"/>
  <c r="K34" i="6"/>
  <c r="K35" i="6" s="1"/>
  <c r="K33" i="6"/>
  <c r="K18" i="6"/>
  <c r="H34" i="6"/>
  <c r="H35" i="6" s="1"/>
  <c r="H33" i="6"/>
  <c r="H18" i="6"/>
  <c r="I34" i="6"/>
  <c r="I35" i="6" s="1"/>
  <c r="I33" i="6"/>
  <c r="I18" i="6"/>
  <c r="G34" i="6"/>
  <c r="G35" i="6" s="1"/>
  <c r="G33" i="6"/>
  <c r="G18" i="6"/>
  <c r="D34" i="6"/>
  <c r="D35" i="6" s="1"/>
  <c r="D33" i="6"/>
  <c r="D18" i="6"/>
  <c r="L34" i="6"/>
  <c r="L35" i="6" s="1"/>
  <c r="L18" i="6"/>
  <c r="M34" i="6"/>
  <c r="M18" i="6"/>
  <c r="J34" i="6"/>
  <c r="J35" i="6" s="1"/>
  <c r="J18" i="6"/>
  <c r="J33" i="6"/>
  <c r="F100" i="8" l="1"/>
  <c r="H100" i="8" s="1"/>
  <c r="F99" i="8"/>
  <c r="H99" i="8" s="1"/>
  <c r="R114" i="8"/>
  <c r="T114" i="8" s="1"/>
  <c r="F107" i="8"/>
  <c r="H107" i="8" s="1"/>
  <c r="Q86" i="8"/>
  <c r="R105" i="8"/>
  <c r="T105" i="8" s="1"/>
  <c r="R113" i="8"/>
  <c r="T113" i="8" s="1"/>
  <c r="F98" i="8"/>
  <c r="H98" i="8" s="1"/>
  <c r="AB100" i="8"/>
  <c r="AD100" i="8" s="1"/>
  <c r="AB114" i="8"/>
  <c r="AB98" i="8"/>
  <c r="AD98" i="8" s="1"/>
  <c r="R112" i="8"/>
  <c r="T112" i="8" s="1"/>
  <c r="R111" i="8"/>
  <c r="T111" i="8" s="1"/>
  <c r="AB99" i="8"/>
  <c r="AD99" i="8" s="1"/>
  <c r="R97" i="8"/>
  <c r="T97" i="8" s="1"/>
  <c r="F106" i="8"/>
  <c r="H106" i="8" s="1"/>
  <c r="F111" i="8"/>
  <c r="H111" i="8" s="1"/>
  <c r="F105" i="8"/>
  <c r="H105" i="8" s="1"/>
  <c r="F104" i="8"/>
  <c r="H104" i="8" s="1"/>
  <c r="F113" i="8"/>
  <c r="H113" i="8" s="1"/>
  <c r="AB97" i="8"/>
  <c r="AD97" i="8" s="1"/>
  <c r="D14" i="12"/>
  <c r="D17" i="12" s="1"/>
  <c r="D34" i="12" s="1"/>
  <c r="F34" i="12" s="1"/>
  <c r="R106" i="8"/>
  <c r="T106" i="8" s="1"/>
  <c r="AB107" i="8"/>
  <c r="F114" i="8"/>
  <c r="H114" i="8" s="1"/>
  <c r="F97" i="8"/>
  <c r="H97" i="8" s="1"/>
  <c r="R104" i="8"/>
  <c r="T104" i="8" s="1"/>
  <c r="F112" i="8"/>
  <c r="H112" i="8" s="1"/>
  <c r="R107" i="8"/>
  <c r="T107" i="8" s="1"/>
  <c r="AC114" i="8"/>
  <c r="AD114" i="8" s="1"/>
  <c r="AB113" i="8"/>
  <c r="AD113" i="8" s="1"/>
  <c r="R98" i="8"/>
  <c r="T98" i="8" s="1"/>
  <c r="R99" i="8"/>
  <c r="T99" i="8" s="1"/>
  <c r="AB112" i="8"/>
  <c r="AB106" i="8"/>
  <c r="AB111" i="8"/>
  <c r="AB105" i="8"/>
  <c r="R100" i="8"/>
  <c r="T100" i="8" s="1"/>
  <c r="AC112" i="8"/>
  <c r="AC111" i="8"/>
  <c r="AC107" i="8"/>
  <c r="AC106" i="8"/>
  <c r="AC105" i="8"/>
  <c r="AD104" i="8"/>
  <c r="S50" i="15"/>
  <c r="D46" i="5"/>
  <c r="F47" i="5"/>
  <c r="F46" i="6"/>
  <c r="D46" i="6"/>
  <c r="M35" i="6"/>
  <c r="F47" i="6"/>
  <c r="D21" i="5"/>
  <c r="D29" i="5"/>
  <c r="D26" i="5"/>
  <c r="D20" i="5"/>
  <c r="D24" i="5"/>
  <c r="D23" i="5"/>
  <c r="D31" i="5"/>
  <c r="L26" i="5"/>
  <c r="I24" i="5"/>
  <c r="L31" i="5"/>
  <c r="L29" i="5"/>
  <c r="L30" i="5"/>
  <c r="I26" i="5"/>
  <c r="L24" i="5"/>
  <c r="L23" i="5"/>
  <c r="L38" i="5" s="1"/>
  <c r="L21" i="5"/>
  <c r="E38" i="5"/>
  <c r="I29" i="5"/>
  <c r="I30" i="5"/>
  <c r="I20" i="5"/>
  <c r="I38" i="5" s="1"/>
  <c r="I31" i="5"/>
  <c r="I21" i="5"/>
  <c r="H40" i="5"/>
  <c r="H42" i="5" s="1"/>
  <c r="H39" i="5"/>
  <c r="E40" i="5"/>
  <c r="E42" i="5" s="1"/>
  <c r="E39" i="5"/>
  <c r="D29" i="3"/>
  <c r="D26" i="3"/>
  <c r="D24" i="3"/>
  <c r="D20" i="3"/>
  <c r="D31" i="3"/>
  <c r="D30" i="3"/>
  <c r="D23" i="3"/>
  <c r="D21" i="3"/>
  <c r="I31" i="3"/>
  <c r="I30" i="3"/>
  <c r="I29" i="3"/>
  <c r="I26" i="3"/>
  <c r="I24" i="3"/>
  <c r="I23" i="3"/>
  <c r="I21" i="3"/>
  <c r="I20" i="3"/>
  <c r="N31" i="3"/>
  <c r="N30" i="3"/>
  <c r="N29" i="3"/>
  <c r="N26" i="3"/>
  <c r="N24" i="3"/>
  <c r="N23" i="3"/>
  <c r="N21" i="3"/>
  <c r="N20" i="3"/>
  <c r="E31" i="3"/>
  <c r="E30" i="3"/>
  <c r="E29" i="3"/>
  <c r="E26" i="3"/>
  <c r="E24" i="3"/>
  <c r="E23" i="3"/>
  <c r="E21" i="3"/>
  <c r="E20" i="3"/>
  <c r="H31" i="3"/>
  <c r="H24" i="3"/>
  <c r="H23" i="3"/>
  <c r="H30" i="3"/>
  <c r="H26" i="3"/>
  <c r="H21" i="3"/>
  <c r="H29" i="3"/>
  <c r="H20" i="3"/>
  <c r="G31" i="3"/>
  <c r="G30" i="3"/>
  <c r="G29" i="3"/>
  <c r="G26" i="3"/>
  <c r="G24" i="3"/>
  <c r="G23" i="3"/>
  <c r="G21" i="3"/>
  <c r="G20" i="3"/>
  <c r="C31" i="3"/>
  <c r="C30" i="3"/>
  <c r="C29" i="3"/>
  <c r="C26" i="3"/>
  <c r="C24" i="3"/>
  <c r="C23" i="3"/>
  <c r="C21" i="3"/>
  <c r="C20" i="3"/>
  <c r="F31" i="3"/>
  <c r="F30" i="3"/>
  <c r="F29" i="3"/>
  <c r="F26" i="3"/>
  <c r="F24" i="3"/>
  <c r="F23" i="3"/>
  <c r="F21" i="3"/>
  <c r="F20" i="3"/>
  <c r="M31" i="3"/>
  <c r="M30" i="3"/>
  <c r="M29" i="3"/>
  <c r="M26" i="3"/>
  <c r="M24" i="3"/>
  <c r="M23" i="3"/>
  <c r="M21" i="3"/>
  <c r="M20" i="3"/>
  <c r="L30" i="3"/>
  <c r="L29" i="3"/>
  <c r="L21" i="3"/>
  <c r="L20" i="3"/>
  <c r="L31" i="3"/>
  <c r="L26" i="3"/>
  <c r="L24" i="3"/>
  <c r="L23" i="3"/>
  <c r="C35" i="3"/>
  <c r="K31" i="3"/>
  <c r="K30" i="3"/>
  <c r="K29" i="3"/>
  <c r="K26" i="3"/>
  <c r="K24" i="3"/>
  <c r="K23" i="3"/>
  <c r="K21" i="3"/>
  <c r="K20" i="3"/>
  <c r="J31" i="3"/>
  <c r="J30" i="3"/>
  <c r="J29" i="3"/>
  <c r="J26" i="3"/>
  <c r="J24" i="3"/>
  <c r="J23" i="3"/>
  <c r="J21" i="3"/>
  <c r="J20" i="3"/>
  <c r="F31" i="5"/>
  <c r="F30" i="5"/>
  <c r="F29" i="5"/>
  <c r="F26" i="5"/>
  <c r="F24" i="5"/>
  <c r="F23" i="5"/>
  <c r="F21" i="5"/>
  <c r="F20" i="5"/>
  <c r="J31" i="5"/>
  <c r="J30" i="5"/>
  <c r="J29" i="5"/>
  <c r="J26" i="5"/>
  <c r="J24" i="5"/>
  <c r="J23" i="5"/>
  <c r="J21" i="5"/>
  <c r="J20" i="5"/>
  <c r="G31" i="5"/>
  <c r="G30" i="5"/>
  <c r="G29" i="5"/>
  <c r="G26" i="5"/>
  <c r="G24" i="5"/>
  <c r="G23" i="5"/>
  <c r="G21" i="5"/>
  <c r="G20" i="5"/>
  <c r="N31" i="5"/>
  <c r="N30" i="5"/>
  <c r="N29" i="5"/>
  <c r="N26" i="5"/>
  <c r="N24" i="5"/>
  <c r="N23" i="5"/>
  <c r="N21" i="5"/>
  <c r="N20" i="5"/>
  <c r="C31" i="5"/>
  <c r="C30" i="5"/>
  <c r="C29" i="5"/>
  <c r="C26" i="5"/>
  <c r="C24" i="5"/>
  <c r="C23" i="5"/>
  <c r="C21" i="5"/>
  <c r="C20" i="5"/>
  <c r="C35" i="5"/>
  <c r="F48" i="5" s="1"/>
  <c r="K31" i="5"/>
  <c r="K30" i="5"/>
  <c r="K29" i="5"/>
  <c r="K26" i="5"/>
  <c r="K24" i="5"/>
  <c r="K23" i="5"/>
  <c r="K21" i="5"/>
  <c r="K20" i="5"/>
  <c r="L31" i="6"/>
  <c r="L30" i="6"/>
  <c r="L29" i="6"/>
  <c r="L26" i="6"/>
  <c r="L24" i="6"/>
  <c r="L23" i="6"/>
  <c r="L21" i="6"/>
  <c r="L20" i="6"/>
  <c r="G31" i="6"/>
  <c r="G30" i="6"/>
  <c r="G29" i="6"/>
  <c r="G26" i="6"/>
  <c r="G24" i="6"/>
  <c r="G23" i="6"/>
  <c r="G21" i="6"/>
  <c r="G20" i="6"/>
  <c r="K31" i="6"/>
  <c r="K30" i="6"/>
  <c r="K29" i="6"/>
  <c r="K26" i="6"/>
  <c r="K24" i="6"/>
  <c r="K23" i="6"/>
  <c r="K21" i="6"/>
  <c r="K20" i="6"/>
  <c r="J31" i="6"/>
  <c r="J24" i="6"/>
  <c r="J26" i="6"/>
  <c r="J20" i="6"/>
  <c r="J23" i="6"/>
  <c r="J29" i="6"/>
  <c r="J21" i="6"/>
  <c r="J30" i="6"/>
  <c r="F30" i="6"/>
  <c r="F23" i="6"/>
  <c r="F21" i="6"/>
  <c r="F31" i="6"/>
  <c r="F24" i="6"/>
  <c r="F26" i="6"/>
  <c r="F20" i="6"/>
  <c r="F29" i="6"/>
  <c r="M31" i="6"/>
  <c r="M30" i="6"/>
  <c r="M29" i="6"/>
  <c r="M26" i="6"/>
  <c r="M24" i="6"/>
  <c r="M23" i="6"/>
  <c r="M21" i="6"/>
  <c r="M20" i="6"/>
  <c r="I31" i="6"/>
  <c r="I30" i="6"/>
  <c r="I29" i="6"/>
  <c r="I26" i="6"/>
  <c r="I24" i="6"/>
  <c r="I23" i="6"/>
  <c r="I21" i="6"/>
  <c r="I20" i="6"/>
  <c r="E31" i="6"/>
  <c r="E30" i="6"/>
  <c r="E29" i="6"/>
  <c r="E26" i="6"/>
  <c r="E24" i="6"/>
  <c r="E23" i="6"/>
  <c r="E21" i="6"/>
  <c r="E20" i="6"/>
  <c r="C35" i="6"/>
  <c r="F48" i="6" s="1"/>
  <c r="D31" i="6"/>
  <c r="D30" i="6"/>
  <c r="D29" i="6"/>
  <c r="D26" i="6"/>
  <c r="D24" i="6"/>
  <c r="D23" i="6"/>
  <c r="D21" i="6"/>
  <c r="D20" i="6"/>
  <c r="H31" i="6"/>
  <c r="H30" i="6"/>
  <c r="H29" i="6"/>
  <c r="H26" i="6"/>
  <c r="H24" i="6"/>
  <c r="H23" i="6"/>
  <c r="H21" i="6"/>
  <c r="H20" i="6"/>
  <c r="N26" i="6"/>
  <c r="N20" i="6"/>
  <c r="N31" i="6"/>
  <c r="N24" i="6"/>
  <c r="N29" i="6"/>
  <c r="N21" i="6"/>
  <c r="N30" i="6"/>
  <c r="N23" i="6"/>
  <c r="C31" i="6"/>
  <c r="C30" i="6"/>
  <c r="C29" i="6"/>
  <c r="C26" i="6"/>
  <c r="C24" i="6"/>
  <c r="C23" i="6"/>
  <c r="C21" i="6"/>
  <c r="C20" i="6"/>
  <c r="H119" i="8" l="1"/>
  <c r="H8" i="13" s="1"/>
  <c r="T115" i="8"/>
  <c r="R119" i="8"/>
  <c r="D13" i="14" s="1"/>
  <c r="AD101" i="8"/>
  <c r="G119" i="8"/>
  <c r="E6" i="14" s="1"/>
  <c r="E119" i="8"/>
  <c r="H108" i="8"/>
  <c r="F119" i="8"/>
  <c r="AD112" i="8"/>
  <c r="AD111" i="8"/>
  <c r="AA119" i="8" s="1"/>
  <c r="E26" i="13" s="1"/>
  <c r="AD106" i="8"/>
  <c r="AC119" i="8" s="1"/>
  <c r="E19" i="14" s="1"/>
  <c r="H101" i="8"/>
  <c r="H115" i="8"/>
  <c r="AD105" i="8"/>
  <c r="T119" i="8"/>
  <c r="F13" i="14" s="1"/>
  <c r="T108" i="8"/>
  <c r="AD107" i="8"/>
  <c r="AD119" i="8" s="1"/>
  <c r="F19" i="14" s="1"/>
  <c r="Q119" i="8"/>
  <c r="E17" i="13" s="1"/>
  <c r="S119" i="8"/>
  <c r="G17" i="13" s="1"/>
  <c r="T101" i="8"/>
  <c r="L97" i="15"/>
  <c r="U50" i="15"/>
  <c r="D39" i="5"/>
  <c r="D40" i="5"/>
  <c r="D42" i="5" s="1"/>
  <c r="D38" i="5"/>
  <c r="D38" i="3"/>
  <c r="L40" i="5"/>
  <c r="L42" i="5" s="1"/>
  <c r="I39" i="5"/>
  <c r="L39" i="5"/>
  <c r="I40" i="5"/>
  <c r="I42" i="5" s="1"/>
  <c r="G38" i="6"/>
  <c r="K39" i="6"/>
  <c r="H39" i="3"/>
  <c r="M40" i="3"/>
  <c r="M42" i="3" s="1"/>
  <c r="F39" i="5"/>
  <c r="J39" i="5"/>
  <c r="N40" i="3"/>
  <c r="N42" i="3" s="1"/>
  <c r="N39" i="3"/>
  <c r="M39" i="3"/>
  <c r="L39" i="3"/>
  <c r="J39" i="3"/>
  <c r="J38" i="3"/>
  <c r="K38" i="3"/>
  <c r="K39" i="3"/>
  <c r="I38" i="3"/>
  <c r="I39" i="3"/>
  <c r="G40" i="3"/>
  <c r="G42" i="3" s="1"/>
  <c r="G39" i="3"/>
  <c r="F40" i="3"/>
  <c r="F42" i="3" s="1"/>
  <c r="F39" i="3"/>
  <c r="D40" i="3"/>
  <c r="D42" i="3" s="1"/>
  <c r="E40" i="3"/>
  <c r="E42" i="3" s="1"/>
  <c r="E39" i="3"/>
  <c r="C40" i="3"/>
  <c r="C39" i="3"/>
  <c r="N39" i="5"/>
  <c r="K38" i="5"/>
  <c r="K39" i="5"/>
  <c r="G39" i="5"/>
  <c r="L38" i="6"/>
  <c r="J39" i="6"/>
  <c r="K38" i="6"/>
  <c r="G39" i="6"/>
  <c r="N39" i="6"/>
  <c r="C38" i="6"/>
  <c r="H38" i="6"/>
  <c r="H39" i="6"/>
  <c r="D38" i="6"/>
  <c r="D39" i="6"/>
  <c r="E40" i="6"/>
  <c r="E42" i="6" s="1"/>
  <c r="E39" i="6"/>
  <c r="I40" i="6"/>
  <c r="I42" i="6" s="1"/>
  <c r="I39" i="6"/>
  <c r="M40" i="6"/>
  <c r="M42" i="6" s="1"/>
  <c r="M39" i="6"/>
  <c r="F39" i="6"/>
  <c r="L39" i="6"/>
  <c r="H40" i="3"/>
  <c r="H42" i="3" s="1"/>
  <c r="D39" i="3"/>
  <c r="I40" i="3"/>
  <c r="I42" i="3" s="1"/>
  <c r="J40" i="3"/>
  <c r="J42" i="3" s="1"/>
  <c r="K40" i="3"/>
  <c r="K42" i="3" s="1"/>
  <c r="L40" i="3"/>
  <c r="L42" i="3" s="1"/>
  <c r="L38" i="3"/>
  <c r="M38" i="3"/>
  <c r="F38" i="3"/>
  <c r="C38" i="3"/>
  <c r="G38" i="3"/>
  <c r="H38" i="3"/>
  <c r="E38" i="3"/>
  <c r="N38" i="3"/>
  <c r="K40" i="5"/>
  <c r="K42" i="5" s="1"/>
  <c r="C38" i="5"/>
  <c r="N38" i="5"/>
  <c r="G38" i="5"/>
  <c r="J38" i="5"/>
  <c r="F38" i="5"/>
  <c r="C39" i="5"/>
  <c r="C40" i="5"/>
  <c r="N40" i="5"/>
  <c r="N42" i="5" s="1"/>
  <c r="G40" i="5"/>
  <c r="G42" i="5" s="1"/>
  <c r="J40" i="5"/>
  <c r="J42" i="5" s="1"/>
  <c r="F40" i="5"/>
  <c r="J40" i="6"/>
  <c r="J42" i="6" s="1"/>
  <c r="C40" i="6"/>
  <c r="H40" i="6"/>
  <c r="H42" i="6" s="1"/>
  <c r="D40" i="6"/>
  <c r="D42" i="6" s="1"/>
  <c r="K40" i="6"/>
  <c r="K42" i="6" s="1"/>
  <c r="G40" i="6"/>
  <c r="G42" i="6" s="1"/>
  <c r="L40" i="6"/>
  <c r="L42" i="6" s="1"/>
  <c r="N40" i="6"/>
  <c r="N42" i="6" s="1"/>
  <c r="N38" i="6"/>
  <c r="E38" i="6"/>
  <c r="I38" i="6"/>
  <c r="M38" i="6"/>
  <c r="C39" i="6"/>
  <c r="F38" i="6"/>
  <c r="F40" i="6"/>
  <c r="J38" i="6"/>
  <c r="F6" i="14" l="1"/>
  <c r="D45" i="3"/>
  <c r="D50" i="3" s="1"/>
  <c r="E45" i="3"/>
  <c r="E50" i="3" s="1"/>
  <c r="E8" i="13"/>
  <c r="B32" i="12"/>
  <c r="G8" i="13"/>
  <c r="D32" i="12"/>
  <c r="E32" i="12"/>
  <c r="F8" i="13"/>
  <c r="F17" i="13"/>
  <c r="C6" i="14"/>
  <c r="AB119" i="8"/>
  <c r="D19" i="14" s="1"/>
  <c r="D6" i="14"/>
  <c r="AD115" i="8"/>
  <c r="I116" i="8"/>
  <c r="H17" i="13"/>
  <c r="E13" i="14"/>
  <c r="C13" i="14"/>
  <c r="AD108" i="8"/>
  <c r="H26" i="13"/>
  <c r="U116" i="8"/>
  <c r="G26" i="13"/>
  <c r="C19" i="14"/>
  <c r="L98" i="15"/>
  <c r="V50" i="15"/>
  <c r="L100" i="15"/>
  <c r="L102" i="15" s="1"/>
  <c r="E45" i="6"/>
  <c r="E50" i="6" s="1"/>
  <c r="F45" i="6"/>
  <c r="F50" i="6" s="1"/>
  <c r="F45" i="3"/>
  <c r="F50" i="3" s="1"/>
  <c r="F45" i="5"/>
  <c r="F50" i="5" s="1"/>
  <c r="C42" i="3"/>
  <c r="C45" i="3" s="1"/>
  <c r="C50" i="3" s="1"/>
  <c r="E45" i="5"/>
  <c r="E50" i="5" s="1"/>
  <c r="F42" i="5"/>
  <c r="D45" i="5" s="1"/>
  <c r="D50" i="5" s="1"/>
  <c r="C42" i="5"/>
  <c r="C45" i="5" s="1"/>
  <c r="C50" i="5" s="1"/>
  <c r="F42" i="6"/>
  <c r="D45" i="6" s="1"/>
  <c r="D50" i="6" s="1"/>
  <c r="C42" i="6"/>
  <c r="C45" i="6" s="1"/>
  <c r="C50" i="6" s="1"/>
  <c r="H117" i="8" l="1"/>
  <c r="G19" i="14"/>
  <c r="C32" i="12"/>
  <c r="F32" i="12" s="1"/>
  <c r="F24" i="13"/>
  <c r="D18" i="14"/>
  <c r="C18" i="14"/>
  <c r="E24" i="13"/>
  <c r="G6" i="14"/>
  <c r="F26" i="13"/>
  <c r="AE116" i="8"/>
  <c r="I70" i="8" s="1"/>
  <c r="AD117" i="8"/>
  <c r="G13" i="14"/>
  <c r="E53" i="11"/>
  <c r="F18" i="14"/>
  <c r="H24" i="13"/>
  <c r="E18" i="14"/>
  <c r="G24" i="13"/>
  <c r="S51" i="15"/>
  <c r="F15" i="13"/>
  <c r="D12" i="14"/>
  <c r="G15" i="13"/>
  <c r="E12" i="14"/>
  <c r="C12" i="14"/>
  <c r="E15" i="13"/>
  <c r="E22" i="12"/>
  <c r="F12" i="14"/>
  <c r="H15" i="13"/>
  <c r="F6" i="13"/>
  <c r="D5" i="14"/>
  <c r="C51" i="11"/>
  <c r="C21" i="12"/>
  <c r="C5" i="14"/>
  <c r="E6" i="13"/>
  <c r="B51" i="11"/>
  <c r="B21" i="12"/>
  <c r="G6" i="13"/>
  <c r="E5" i="14"/>
  <c r="D21" i="12"/>
  <c r="D51" i="11"/>
  <c r="F5" i="14"/>
  <c r="H6" i="13"/>
  <c r="E21" i="12"/>
  <c r="E51" i="11"/>
  <c r="E23" i="12"/>
  <c r="E52" i="11"/>
  <c r="D23" i="12"/>
  <c r="D53" i="11"/>
  <c r="C53" i="11"/>
  <c r="C23" i="12"/>
  <c r="D22" i="12"/>
  <c r="D52" i="11"/>
  <c r="C52" i="11"/>
  <c r="C22" i="12"/>
  <c r="B52" i="11"/>
  <c r="B22" i="12"/>
  <c r="B23" i="12"/>
  <c r="B53" i="11"/>
  <c r="C24" i="12" l="1"/>
  <c r="C33" i="12" s="1"/>
  <c r="E24" i="12"/>
  <c r="E33" i="12" s="1"/>
  <c r="D24" i="12"/>
  <c r="D33" i="12" s="1"/>
  <c r="B24" i="12"/>
  <c r="B33" i="12" s="1"/>
  <c r="F33" i="12" s="1"/>
  <c r="G18" i="14"/>
  <c r="G20" i="14" s="1"/>
  <c r="J17" i="14" s="1"/>
  <c r="L17" i="14" s="1"/>
  <c r="AF49" i="9" s="1"/>
  <c r="AF59" i="9" s="1"/>
  <c r="AF65" i="9" s="1"/>
  <c r="AG65" i="9" s="1"/>
  <c r="M97" i="15"/>
  <c r="U51" i="15"/>
  <c r="G12" i="14"/>
  <c r="G14" i="14" s="1"/>
  <c r="F51" i="11"/>
  <c r="G5" i="14"/>
  <c r="F23" i="12"/>
  <c r="F21" i="12"/>
  <c r="F22" i="12"/>
  <c r="F53" i="11"/>
  <c r="F52" i="11"/>
  <c r="J11" i="14" l="1"/>
  <c r="L11" i="14" s="1"/>
  <c r="R49" i="9" s="1"/>
  <c r="G7" i="14"/>
  <c r="AJ59" i="9"/>
  <c r="AE59" i="9"/>
  <c r="AE64" i="9" s="1"/>
  <c r="AE68" i="9" s="1"/>
  <c r="E23" i="13" s="1"/>
  <c r="E29" i="13" s="1"/>
  <c r="AH59" i="9"/>
  <c r="AH67" i="9" s="1"/>
  <c r="AI67" i="9" s="1"/>
  <c r="AI68" i="9" s="1"/>
  <c r="AG59" i="9"/>
  <c r="AG66" i="9" s="1"/>
  <c r="AH66" i="9" s="1"/>
  <c r="AI59" i="9"/>
  <c r="M98" i="15"/>
  <c r="V51" i="15"/>
  <c r="M100" i="15"/>
  <c r="M102" i="15" s="1"/>
  <c r="F24" i="12"/>
  <c r="L4" i="14" l="1"/>
  <c r="D49" i="9" s="1"/>
  <c r="V59" i="9"/>
  <c r="T59" i="9"/>
  <c r="T67" i="9" s="1"/>
  <c r="U67" i="9" s="1"/>
  <c r="U68" i="9" s="1"/>
  <c r="U59" i="9"/>
  <c r="Q59" i="9"/>
  <c r="Q64" i="9" s="1"/>
  <c r="Q68" i="9" s="1"/>
  <c r="E14" i="13" s="1"/>
  <c r="E20" i="13" s="1"/>
  <c r="R59" i="9"/>
  <c r="R65" i="9" s="1"/>
  <c r="S65" i="9" s="1"/>
  <c r="S59" i="9"/>
  <c r="S66" i="9" s="1"/>
  <c r="T66" i="9" s="1"/>
  <c r="T68" i="9" s="1"/>
  <c r="H14" i="13" s="1"/>
  <c r="H20" i="13" s="1"/>
  <c r="AG68" i="9"/>
  <c r="G23" i="13" s="1"/>
  <c r="G29" i="13" s="1"/>
  <c r="AH68" i="9"/>
  <c r="H23" i="13" s="1"/>
  <c r="H29" i="13" s="1"/>
  <c r="AF64" i="9"/>
  <c r="AF68" i="9" s="1"/>
  <c r="F23" i="13" s="1"/>
  <c r="F29" i="13" s="1"/>
  <c r="S52" i="15"/>
  <c r="C59" i="9" l="1"/>
  <c r="C64" i="9" s="1"/>
  <c r="D64" i="9" s="1"/>
  <c r="D59" i="9"/>
  <c r="D65" i="9" s="1"/>
  <c r="E65" i="9" s="1"/>
  <c r="D4" i="12" s="1"/>
  <c r="G59" i="9"/>
  <c r="E59" i="9"/>
  <c r="E66" i="9" s="1"/>
  <c r="D5" i="12" s="1"/>
  <c r="H59" i="9"/>
  <c r="F59" i="9"/>
  <c r="F67" i="9" s="1"/>
  <c r="C4" i="12"/>
  <c r="S68" i="9"/>
  <c r="G14" i="13" s="1"/>
  <c r="G20" i="13" s="1"/>
  <c r="E6" i="12"/>
  <c r="R64" i="9"/>
  <c r="R68" i="9" s="1"/>
  <c r="F14" i="13" s="1"/>
  <c r="F20" i="13" s="1"/>
  <c r="G67" i="9"/>
  <c r="G68" i="9" s="1"/>
  <c r="N97" i="15"/>
  <c r="U52" i="15"/>
  <c r="F66" i="9"/>
  <c r="E5" i="12" s="1"/>
  <c r="D68" i="9"/>
  <c r="F5" i="13" s="1"/>
  <c r="F11" i="13" s="1"/>
  <c r="C68" i="9"/>
  <c r="E5" i="13" s="1"/>
  <c r="E11" i="13" s="1"/>
  <c r="B3" i="12"/>
  <c r="B7" i="12" s="1"/>
  <c r="D7" i="12" l="1"/>
  <c r="D31" i="12" s="1"/>
  <c r="D35" i="12" s="1"/>
  <c r="B31" i="12"/>
  <c r="B35" i="12" s="1"/>
  <c r="E7" i="12"/>
  <c r="E31" i="12" s="1"/>
  <c r="E35" i="12" s="1"/>
  <c r="F68" i="9"/>
  <c r="H5" i="13" s="1"/>
  <c r="H11" i="13" s="1"/>
  <c r="E68" i="9"/>
  <c r="G5" i="13" s="1"/>
  <c r="G11" i="13" s="1"/>
  <c r="C3" i="12"/>
  <c r="C7" i="12" s="1"/>
  <c r="C31" i="12" s="1"/>
  <c r="C35" i="12" s="1"/>
  <c r="N98" i="15"/>
  <c r="V52" i="15"/>
  <c r="N100" i="15"/>
  <c r="N102" i="15" s="1"/>
  <c r="F31" i="12" l="1"/>
  <c r="F35" i="12" s="1"/>
  <c r="S53" i="15"/>
  <c r="U53" i="15" s="1"/>
  <c r="V53" i="15"/>
  <c r="S54" i="15" l="1"/>
  <c r="U54" i="15" s="1"/>
  <c r="V54" i="15"/>
  <c r="S55" i="15" l="1"/>
  <c r="U55" i="15" s="1"/>
  <c r="V55" i="15"/>
  <c r="S56" i="15" l="1"/>
  <c r="U56" i="15" s="1"/>
  <c r="V56" i="15"/>
  <c r="S57" i="15" l="1"/>
  <c r="U57" i="15" s="1"/>
  <c r="V57" i="15"/>
  <c r="S58" i="15" l="1"/>
  <c r="U58" i="15" s="1"/>
  <c r="V58" i="15"/>
  <c r="S59" i="15" l="1"/>
  <c r="U59" i="15" s="1"/>
  <c r="V59" i="15"/>
  <c r="S60" i="15" l="1"/>
  <c r="U60" i="15" s="1"/>
  <c r="V60" i="15"/>
  <c r="S61" i="15" l="1"/>
  <c r="U61" i="15" s="1"/>
  <c r="V61" i="15"/>
  <c r="S62" i="15" l="1"/>
  <c r="U62" i="15" s="1"/>
  <c r="V62" i="15"/>
  <c r="S63" i="15" l="1"/>
  <c r="U63" i="15" s="1"/>
  <c r="V63" i="15" s="1"/>
  <c r="S64" i="15" l="1"/>
  <c r="U64" i="15" s="1"/>
  <c r="V64" i="15"/>
</calcChain>
</file>

<file path=xl/sharedStrings.xml><?xml version="1.0" encoding="utf-8"?>
<sst xmlns="http://schemas.openxmlformats.org/spreadsheetml/2006/main" count="1348" uniqueCount="308">
  <si>
    <t>DATOS HISTORICOS</t>
  </si>
  <si>
    <t>Periodo(x)</t>
  </si>
  <si>
    <t>ventas</t>
  </si>
  <si>
    <t>xy</t>
  </si>
  <si>
    <t>x^2</t>
  </si>
  <si>
    <t>y*</t>
  </si>
  <si>
    <t>|y-y*|</t>
  </si>
  <si>
    <t>m</t>
  </si>
  <si>
    <t>b</t>
  </si>
  <si>
    <t>pronostico</t>
  </si>
  <si>
    <t xml:space="preserve">Periodo </t>
  </si>
  <si>
    <t>SUMATORIAS</t>
  </si>
  <si>
    <t>n</t>
  </si>
  <si>
    <t>AÑO</t>
  </si>
  <si>
    <t>VENTAS</t>
  </si>
  <si>
    <t>CAMISAS</t>
  </si>
  <si>
    <t>B)</t>
  </si>
  <si>
    <t xml:space="preserve">IGUAL A </t>
  </si>
  <si>
    <t>T1</t>
  </si>
  <si>
    <t>T2</t>
  </si>
  <si>
    <t>T3</t>
  </si>
  <si>
    <t>T4</t>
  </si>
  <si>
    <t>C)</t>
  </si>
  <si>
    <t>PRO.VENT</t>
  </si>
  <si>
    <t>MAS</t>
  </si>
  <si>
    <t>IN.FINAL</t>
  </si>
  <si>
    <t>IN.INICIAL</t>
  </si>
  <si>
    <t>MENOS</t>
  </si>
  <si>
    <t>UNIDADES POR PRODUCIR</t>
  </si>
  <si>
    <t>REDONDEA POR ENCIMA</t>
  </si>
  <si>
    <t>D) CON UN PLANTEAMIENTO  DE MATERIAS PRIMAS</t>
  </si>
  <si>
    <t>UNIDAD MEDIDA</t>
  </si>
  <si>
    <t>CANTIDAD</t>
  </si>
  <si>
    <t>PRECIO/und</t>
  </si>
  <si>
    <t>INVENTARIO INICIAL</t>
  </si>
  <si>
    <t>REQUERIMIENTO</t>
  </si>
  <si>
    <t xml:space="preserve">MAS </t>
  </si>
  <si>
    <t>aquí es la cantidad de producto necesrio</t>
  </si>
  <si>
    <t>Aquí es la cantidad que necesita cada una por el precio</t>
  </si>
  <si>
    <t>Aquí es la cantidad que necista cada una por el precio</t>
  </si>
  <si>
    <t>MATRIZ PRESUPUESTO EFECTIVO PARA PAGOS</t>
  </si>
  <si>
    <t>MATERIAL</t>
  </si>
  <si>
    <t>METROS</t>
  </si>
  <si>
    <t>UNIDAD</t>
  </si>
  <si>
    <t>INVENTARIO FINAL 10%</t>
  </si>
  <si>
    <t>Materia Prima</t>
  </si>
  <si>
    <t>Compras totales</t>
  </si>
  <si>
    <t>MP</t>
  </si>
  <si>
    <t>PAGO AL COMPRAR</t>
  </si>
  <si>
    <t>Red menos</t>
  </si>
  <si>
    <t>UNIDAD SE REDONDEA  MAS</t>
  </si>
  <si>
    <t>PRECIO X UND</t>
  </si>
  <si>
    <t>VENTA</t>
  </si>
  <si>
    <t>UPP</t>
  </si>
  <si>
    <t xml:space="preserve">EFECTIVO DISPONIBLE </t>
  </si>
  <si>
    <t>MOPERARIOS</t>
  </si>
  <si>
    <t>COMPRAS</t>
  </si>
  <si>
    <t>T1 AÑO 9</t>
  </si>
  <si>
    <t>T2 AÑO 9</t>
  </si>
  <si>
    <t>MATRIZ PRESUPUESTO EFECTIVO VENTAS AÑO 8</t>
  </si>
  <si>
    <t>Materias primas</t>
  </si>
  <si>
    <t>E)</t>
  </si>
  <si>
    <t>tiempo(min)</t>
  </si>
  <si>
    <t>producto 4</t>
  </si>
  <si>
    <t>TIEMPO QUE REQUIEREN(HORAS)</t>
  </si>
  <si>
    <t>DICIEMBRE</t>
  </si>
  <si>
    <t>CORTE</t>
  </si>
  <si>
    <t>PRODUCTO</t>
  </si>
  <si>
    <t>TIEMPO EMPLEADOS</t>
  </si>
  <si>
    <t>SALARIO BASICO CORTE</t>
  </si>
  <si>
    <t>AUX. TRANSPORTE</t>
  </si>
  <si>
    <t>VALOR HORA</t>
  </si>
  <si>
    <t>RECARGO DIURNO</t>
  </si>
  <si>
    <t>VALOR HE (DIURNAS)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</si>
  <si>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</si>
  <si>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</si>
  <si>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</si>
  <si>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</si>
  <si>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</si>
  <si>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</si>
  <si>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</si>
  <si>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</si>
  <si>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</si>
  <si>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</si>
  <si>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</si>
  <si>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CANTIDAD HE</t>
  </si>
  <si>
    <t>FACTORES SALARIALES</t>
  </si>
  <si>
    <t>Sueldo basico</t>
  </si>
  <si>
    <t>Aux. transporte</t>
  </si>
  <si>
    <t>Horas extras</t>
  </si>
  <si>
    <t>Comisiones</t>
  </si>
  <si>
    <t>Viaticos</t>
  </si>
  <si>
    <t>BASES PARA LIQUIDAR</t>
  </si>
  <si>
    <t>TOTAL DEVENGADO</t>
  </si>
  <si>
    <t>TOTAL DEVENGADO SIN AUX.</t>
  </si>
  <si>
    <t>SALUD</t>
  </si>
  <si>
    <t>Empleado</t>
  </si>
  <si>
    <t>Empleador</t>
  </si>
  <si>
    <t>PENSION</t>
  </si>
  <si>
    <t>RIESGOS TIPO</t>
  </si>
  <si>
    <t>I</t>
  </si>
  <si>
    <t>Parafiscales</t>
  </si>
  <si>
    <t>SENA</t>
  </si>
  <si>
    <t>ICBF</t>
  </si>
  <si>
    <t>CC</t>
  </si>
  <si>
    <t>Prestaciones Sociales</t>
  </si>
  <si>
    <t>Prima</t>
  </si>
  <si>
    <t>Cesantias</t>
  </si>
  <si>
    <t>Interes cesantias</t>
  </si>
  <si>
    <t>Vacaciones</t>
  </si>
  <si>
    <t>CONSIGNACION A EMPLEADO</t>
  </si>
  <si>
    <t>COSTO MENSUAL TOTAL DEL EMPLEADO</t>
  </si>
  <si>
    <t>COSTO DE SU NOMINA MES</t>
  </si>
  <si>
    <t>NUMERO DE EMPLEADOS</t>
  </si>
  <si>
    <t>MENSUAL A NOMINA SALARIOS</t>
  </si>
  <si>
    <t>SALARIO</t>
  </si>
  <si>
    <t>PRIMA</t>
  </si>
  <si>
    <t>CESANTIAS</t>
  </si>
  <si>
    <t>% CESANTIAS</t>
  </si>
  <si>
    <t>VACACIONES</t>
  </si>
  <si>
    <t>TOTAL</t>
  </si>
  <si>
    <t>COSTO PROCESO</t>
  </si>
  <si>
    <t>TOTAL PRONOSTICO AÑO 8</t>
  </si>
  <si>
    <t>HORA</t>
  </si>
  <si>
    <t>MIN</t>
  </si>
  <si>
    <t>1 SEMANA</t>
  </si>
  <si>
    <t>1 MES</t>
  </si>
  <si>
    <t>1 trimestre</t>
  </si>
  <si>
    <t>COSTOS INDIRECTOS DE FABRICACIÓN</t>
  </si>
  <si>
    <t xml:space="preserve">LOS CIF QUE SE CLASIFICAN COMO SEMIFIJOS O SEMIVARIABLES SE DESCOMPONEN, </t>
  </si>
  <si>
    <t xml:space="preserve">Inflación </t>
  </si>
  <si>
    <t>(De año 1 al 2)</t>
  </si>
  <si>
    <t>Para esto es necesario considerar que el CIF se puede escribir de la siguiente forma:</t>
  </si>
  <si>
    <t>Componente del CIF</t>
  </si>
  <si>
    <t xml:space="preserve">Año 1 </t>
  </si>
  <si>
    <t>Año 2</t>
  </si>
  <si>
    <t>Año 1 Ajust.</t>
  </si>
  <si>
    <t>Variación</t>
  </si>
  <si>
    <t xml:space="preserve">Clasificación </t>
  </si>
  <si>
    <t>MANO DE OBRA INDIRECTA</t>
  </si>
  <si>
    <t>VARIABLE</t>
  </si>
  <si>
    <t>MATERIA PRIMA INDIRECTA</t>
  </si>
  <si>
    <t>MANTENIMIENTO</t>
  </si>
  <si>
    <t>SEMI-VARIABLE</t>
  </si>
  <si>
    <t>Teniendo en cuenta esto, entonces:</t>
  </si>
  <si>
    <t>SEGURIDAD</t>
  </si>
  <si>
    <t>FIJO</t>
  </si>
  <si>
    <t>Para la Materia prima Indirecta, se plantean las siguientes ecuaciones:</t>
  </si>
  <si>
    <t xml:space="preserve">  </t>
  </si>
  <si>
    <t>Unidades prod. Año 1</t>
  </si>
  <si>
    <t>Unidades prod. Año 2</t>
  </si>
  <si>
    <t>AÑO PRESUPUESTADO</t>
  </si>
  <si>
    <r>
      <t>Estas ecuaciones se resuelven buscando encontrar el valor de la parte</t>
    </r>
    <r>
      <rPr>
        <b/>
        <sz val="12"/>
        <color theme="1"/>
        <rFont val="Calibri"/>
        <family val="2"/>
        <scheme val="minor"/>
      </rPr>
      <t xml:space="preserve"> FIJA</t>
    </r>
    <r>
      <rPr>
        <sz val="11"/>
        <color theme="1"/>
        <rFont val="Calibri"/>
        <family val="2"/>
        <scheme val="minor"/>
      </rPr>
      <t xml:space="preserve">, para reemplazar en el siguiente paso. </t>
    </r>
  </si>
  <si>
    <t>CLASIFICACIÓN</t>
  </si>
  <si>
    <t>DE</t>
  </si>
  <si>
    <t>HASTA</t>
  </si>
  <si>
    <t>Para el mantenimiento, se plantean las siguientes ecuaciones:</t>
  </si>
  <si>
    <t>SEMIFIJO</t>
  </si>
  <si>
    <t>FIJOS</t>
  </si>
  <si>
    <t>VARIABLES</t>
  </si>
  <si>
    <t>Total</t>
  </si>
  <si>
    <t xml:space="preserve">   </t>
  </si>
  <si>
    <t>v</t>
  </si>
  <si>
    <t>fija</t>
  </si>
  <si>
    <t>Afectación de la variación de las UPP</t>
  </si>
  <si>
    <t>Afectación por la inflación</t>
  </si>
  <si>
    <t>TOTAL MINUTOS</t>
  </si>
  <si>
    <t>A</t>
  </si>
  <si>
    <t>B</t>
  </si>
  <si>
    <t>C</t>
  </si>
  <si>
    <t>MINUTO TOTAL</t>
  </si>
  <si>
    <t>TOTAL CIF</t>
  </si>
  <si>
    <t>HORA TOTAL</t>
  </si>
  <si>
    <t>TOTAL HH</t>
  </si>
  <si>
    <t>TASA CIF</t>
  </si>
  <si>
    <t>CIF Totales</t>
  </si>
  <si>
    <t>valor del año</t>
  </si>
  <si>
    <t>PP HT</t>
  </si>
  <si>
    <t>H PROCESO POR UNIDAD</t>
  </si>
  <si>
    <t>ENTRE PROCESOS</t>
  </si>
  <si>
    <t>CIF = UPP * HORAS MÁQUINA * TASA CIF</t>
  </si>
  <si>
    <t>MINUTOS</t>
  </si>
  <si>
    <t>PROCESO</t>
  </si>
  <si>
    <t>% SOBRE EL PROCESO</t>
  </si>
  <si>
    <t>TOTAL HORAS</t>
  </si>
  <si>
    <t>TRIMESTRE</t>
  </si>
  <si>
    <t xml:space="preserve">MINUTOS TOTALES </t>
  </si>
  <si>
    <t xml:space="preserve">HORAS TOTALES </t>
  </si>
  <si>
    <t>TOTAL HORAS HOMBRE</t>
  </si>
  <si>
    <t>PRIMER PROD HORAS TOTALES</t>
  </si>
  <si>
    <t>DISTRIBUCIÓN DE LAS HORAS ENTRE PRODUCTOS</t>
  </si>
  <si>
    <t>DISTRIBUCIÓN ENTRE PROCESOS</t>
  </si>
  <si>
    <t>TOTAL UPP</t>
  </si>
  <si>
    <t>A)PRONOSTICOS</t>
  </si>
  <si>
    <t>T1 AÑO9</t>
  </si>
  <si>
    <t>Q</t>
  </si>
  <si>
    <t>TODOS LOS PRODUCTOS</t>
  </si>
  <si>
    <t>NOMINAS</t>
  </si>
  <si>
    <t>SALDOS TOTALES</t>
  </si>
  <si>
    <t>CIF</t>
  </si>
  <si>
    <t>PRESUPUESTO DE EFECTIVO</t>
  </si>
  <si>
    <t>MESAS</t>
  </si>
  <si>
    <t>SILLAS</t>
  </si>
  <si>
    <t>SOFAS</t>
  </si>
  <si>
    <t>NEGATIVO</t>
  </si>
  <si>
    <t>FORRO</t>
  </si>
  <si>
    <t>TELA</t>
  </si>
  <si>
    <t>UNIDADES</t>
  </si>
  <si>
    <t xml:space="preserve"> CON POLITICA DE </t>
  </si>
  <si>
    <t>ADICIONAL DE LO QUE SE REQUIERE PARA EL SIGUIENTE TRIMESTRE</t>
  </si>
  <si>
    <t>COMPRA SALDO SIG TRIMESTRE SILLAS</t>
  </si>
  <si>
    <t>COMPRA SALDO SIG TRIMESTRE SOFAS</t>
  </si>
  <si>
    <t># DE TRABAJADORES R</t>
  </si>
  <si>
    <t xml:space="preserve"># DE TRABAJADORES </t>
  </si>
  <si>
    <t>TOTAL POR EMPLEADO</t>
  </si>
  <si>
    <t>MATRIZ PRESUPUESTO EFECTIVO VENTAS AÑO 8 TODOS LOS PRODUCTOS</t>
  </si>
  <si>
    <t>UNIDADES PRODUCIDAS</t>
  </si>
  <si>
    <t>Inflación proyectada</t>
  </si>
  <si>
    <t>Mesas</t>
  </si>
  <si>
    <t>Sillas</t>
  </si>
  <si>
    <t>Sofas</t>
  </si>
  <si>
    <t>DIS P1</t>
  </si>
  <si>
    <t>DIST P1</t>
  </si>
  <si>
    <t>DIS P2</t>
  </si>
  <si>
    <t>DIST P2</t>
  </si>
  <si>
    <t>DIS P3</t>
  </si>
  <si>
    <t>DIST P3</t>
  </si>
  <si>
    <t>CIF TOTAL</t>
  </si>
  <si>
    <t>Entradas</t>
  </si>
  <si>
    <t>Moperarios</t>
  </si>
  <si>
    <t>Compras</t>
  </si>
  <si>
    <t>Saldos Totales</t>
  </si>
  <si>
    <t>MO</t>
  </si>
  <si>
    <t>UTILIDAD</t>
  </si>
  <si>
    <t>PRECIO DE VENTA</t>
  </si>
  <si>
    <t>COSTO TOTAL</t>
  </si>
  <si>
    <t>CUP</t>
  </si>
  <si>
    <t>F</t>
  </si>
  <si>
    <t>V</t>
  </si>
  <si>
    <t>AÑO1AJUS</t>
  </si>
  <si>
    <t>AÑ02</t>
  </si>
  <si>
    <t>TENIS</t>
  </si>
  <si>
    <t>MES</t>
  </si>
  <si>
    <t>VENTA TOTAL</t>
  </si>
  <si>
    <t>MES DE PAGO CONTADO</t>
  </si>
  <si>
    <t>SALDO</t>
  </si>
  <si>
    <t>COSTO UNITARIO</t>
  </si>
  <si>
    <t>COMPRA</t>
  </si>
  <si>
    <t>PAGO A CREDITO A LOS PROVEEDORES</t>
  </si>
  <si>
    <t xml:space="preserve">MARZO </t>
  </si>
  <si>
    <t xml:space="preserve">MAYO </t>
  </si>
  <si>
    <t>GUAYOS</t>
  </si>
  <si>
    <t>INTERES</t>
  </si>
  <si>
    <t>CUOTA</t>
  </si>
  <si>
    <t>ABONO A K</t>
  </si>
  <si>
    <t>GASTOS</t>
  </si>
  <si>
    <t>INFLACION</t>
  </si>
  <si>
    <t>LOCALES</t>
  </si>
  <si>
    <t>SERVICIOS PUBLICOS</t>
  </si>
  <si>
    <t>OFICINAS</t>
  </si>
  <si>
    <t>GASTOS ADMON</t>
  </si>
  <si>
    <t>PROPAGANDA</t>
  </si>
  <si>
    <t>INGRESO VENTAS</t>
  </si>
  <si>
    <t>INGRESO X VENTAS A CREDITO</t>
  </si>
  <si>
    <t>TOTAL INGRESOS</t>
  </si>
  <si>
    <t>EGRESOS OPERATIVOS</t>
  </si>
  <si>
    <t>OPERACIÓN</t>
  </si>
  <si>
    <t>COMPRAS CONTADO</t>
  </si>
  <si>
    <t>COMPRAS CREDITO</t>
  </si>
  <si>
    <t>GASTOS EN VENTAS</t>
  </si>
  <si>
    <t xml:space="preserve">ARRIENDO LOCALES </t>
  </si>
  <si>
    <t>PUBLICIDAD</t>
  </si>
  <si>
    <t>VENDEDORES</t>
  </si>
  <si>
    <t>GASTOS EN ADMON</t>
  </si>
  <si>
    <t>ARRIENDO OFICINAS</t>
  </si>
  <si>
    <t>GASTOS GENERALES ADMON</t>
  </si>
  <si>
    <t>ADMINISTRADOR</t>
  </si>
  <si>
    <t>GASTOS FINANCIEROS</t>
  </si>
  <si>
    <t>ABONOS A CAPITAL</t>
  </si>
  <si>
    <t>TOTAL EGRESOS</t>
  </si>
  <si>
    <t>SALDO TOTAL</t>
  </si>
  <si>
    <t>PANTALONES</t>
  </si>
  <si>
    <t>CHAQUETA</t>
  </si>
  <si>
    <t>CAMISAS CON UN AJUSTE DEL</t>
  </si>
  <si>
    <t>PANTALONES CON UN AJUSTE DEL</t>
  </si>
  <si>
    <t>CHAQUETAS CON UN AJUSTE DEL</t>
  </si>
  <si>
    <t>CHAQUETAS</t>
  </si>
  <si>
    <t>PUÑO</t>
  </si>
  <si>
    <t>CUELLO</t>
  </si>
  <si>
    <t>BOTONES</t>
  </si>
  <si>
    <t>HILO</t>
  </si>
  <si>
    <t>JEAN</t>
  </si>
  <si>
    <t>CREMALLERA</t>
  </si>
  <si>
    <t>BOLSILLOS</t>
  </si>
  <si>
    <t>BOTON</t>
  </si>
  <si>
    <t>NADA</t>
  </si>
  <si>
    <t>COSTURA</t>
  </si>
  <si>
    <t>PLANCHA</t>
  </si>
  <si>
    <t>NOMINA CAMISAS</t>
  </si>
  <si>
    <t>NOMINA PANTALONES</t>
  </si>
  <si>
    <t>NOMINA CHAQUETAS</t>
  </si>
  <si>
    <t>DEPRECIACION</t>
  </si>
  <si>
    <t>PRONOSTICO DE PRODUCCION TRIMESTRAL</t>
  </si>
  <si>
    <t>MATERIA PRIMA</t>
  </si>
  <si>
    <t>.</t>
  </si>
  <si>
    <t xml:space="preserve">TOTAL VENTAS </t>
  </si>
  <si>
    <t>Tiempos de trabajo estandar</t>
  </si>
  <si>
    <t>JORNADA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</si>
</sst>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0.0%"/>
    <numFmt numFmtId="166" formatCode="_-[$$-240A]\ * #,##0.00_-;\-[$$-240A]\ * #,##0.00_-;_-[$$-240A]\ * &quot;-&quot;??_-;_-@_-"/>
    <numFmt numFmtId="167" formatCode="_-[$$-240A]\ * #,##0_-;\-[$$-240A]\ * #,##0_-;_-[$$-240A]\ * &quot;-&quot;??_-;_-@_-"/>
    <numFmt numFmtId="168" formatCode="_-[$$-240A]\ * #,##0.0_-;\-[$$-240A]\ * #,##0.0_-;_-[$$-240A]\ * &quot;-&quot;??_-;_-@_-"/>
    <numFmt numFmtId="169" formatCode="_-[$$-240A]\ * #,##0.0_-;\-[$$-240A]\ * #,##0.0_-;_-[$$-240A]\ * &quot;-&quot;?_-;_-@_-"/>
    <numFmt numFmtId="170" formatCode="&quot;$&quot;#,##0.00;[Red]\-&quot;$&quot;#,##0.00"/>
    <numFmt numFmtId="171" formatCode="_-&quot;$&quot;* #,##0.00_-;\-&quot;$&quot;* #,##0.00_-;_-&quot;$&quot;* &quot;-&quot;??_-;_-@_-"/>
    <numFmt numFmtId="172" formatCode="0.0000%"/>
    <numFmt numFmtId="173" formatCode="_-&quot;$&quot;* #,##0_-;\-&quot;$&quot;* #,##0_-;_-&quot;$&quot;* &quot;-&quot;_-;_-@_-"/>
    <numFmt numFmtId="174" formatCode="_-* #,##0_-;\-* #,##0_-;_-* &quot;-&quot;??_-;_-@_-"/>
    <numFmt numFmtId="175" formatCode="0.000%"/>
    <numFmt numFmtId="176" formatCode="_-&quot;$&quot;* #,##0.0_-;\-&quot;$&quot;* #,##0.0_-;_-&quot;$&quot;* &quot;-&quot;_-;_-@_-"/>
    <numFmt numFmtId="177" formatCode="_-* #,##0.0000_-;\-* #,##0.0000_-;_-* &quot;-&quot;_-;_-@_-"/>
    <numFmt numFmtId="178" formatCode="_-* #,##0.0000_-;\-* #,##0.0000_-;_-* &quot;-&quot;????_-;_-@_-"/>
    <numFmt numFmtId="179" formatCode="#,##0.000000"/>
    <numFmt numFmtId="180" formatCode="_-* #,##0.000000_-;\-* #,##0.000000_-;_-* &quot;-&quot;_-;_-@_-"/>
    <numFmt numFmtId="181" formatCode="_-&quot;$&quot;* #,##0.0_-;\-&quot;$&quot;* #,##0.0_-;_-&quot;$&quot;* &quot;-&quot;?_-;_-@_-"/>
    <numFmt numFmtId="182" formatCode="_-* #,##0.0_-;\-* #,##0.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48"/>
      <color theme="0"/>
      <name val="Calibri"/>
      <family val="2"/>
      <scheme val="minor"/>
    </font>
    <font>
      <b/>
      <sz val="26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D32C8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indexed="64"/>
      </right>
      <top style="thin">
        <color auto="1"/>
      </top>
      <bottom/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4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625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4" borderId="0" xfId="0" applyFill="1"/>
    <xf numFmtId="0" fontId="0" fillId="0" borderId="6" xfId="0" applyBorder="1"/>
    <xf numFmtId="0" fontId="0" fillId="0" borderId="8" xfId="0" applyBorder="1"/>
    <xf numFmtId="0" fontId="0" fillId="0" borderId="11" xfId="0" applyBorder="1"/>
    <xf numFmtId="42" fontId="0" fillId="0" borderId="0" xfId="2" applyFont="1"/>
    <xf numFmtId="42" fontId="0" fillId="0" borderId="0" xfId="0" applyNumberFormat="1"/>
    <xf numFmtId="42" fontId="0" fillId="0" borderId="6" xfId="0" applyNumberFormat="1" applyBorder="1"/>
    <xf numFmtId="2" fontId="0" fillId="2" borderId="1" xfId="0" applyNumberFormat="1" applyFill="1" applyBorder="1"/>
    <xf numFmtId="164" fontId="0" fillId="4" borderId="0" xfId="1" applyNumberFormat="1" applyFont="1" applyFill="1"/>
    <xf numFmtId="0" fontId="0" fillId="4" borderId="0" xfId="0" applyFill="1" applyBorder="1"/>
    <xf numFmtId="0" fontId="0" fillId="6" borderId="2" xfId="0" applyFill="1" applyBorder="1"/>
    <xf numFmtId="2" fontId="0" fillId="0" borderId="0" xfId="0" applyNumberFormat="1"/>
    <xf numFmtId="0" fontId="3" fillId="0" borderId="0" xfId="0" applyFont="1"/>
    <xf numFmtId="0" fontId="0" fillId="0" borderId="0" xfId="0" applyBorder="1"/>
    <xf numFmtId="0" fontId="3" fillId="2" borderId="0" xfId="0" applyFont="1" applyFill="1"/>
    <xf numFmtId="164" fontId="0" fillId="2" borderId="1" xfId="1" applyNumberFormat="1" applyFont="1" applyFill="1" applyBorder="1"/>
    <xf numFmtId="0" fontId="3" fillId="0" borderId="1" xfId="0" applyFont="1" applyBorder="1"/>
    <xf numFmtId="166" fontId="0" fillId="0" borderId="1" xfId="0" applyNumberFormat="1" applyBorder="1"/>
    <xf numFmtId="167" fontId="0" fillId="0" borderId="1" xfId="0" applyNumberFormat="1" applyBorder="1"/>
    <xf numFmtId="0" fontId="3" fillId="0" borderId="7" xfId="0" applyFont="1" applyBorder="1"/>
    <xf numFmtId="167" fontId="0" fillId="0" borderId="1" xfId="3" applyNumberFormat="1" applyFont="1" applyBorder="1"/>
    <xf numFmtId="166" fontId="0" fillId="0" borderId="0" xfId="0" applyNumberFormat="1"/>
    <xf numFmtId="166" fontId="3" fillId="0" borderId="1" xfId="0" applyNumberFormat="1" applyFont="1" applyBorder="1"/>
    <xf numFmtId="168" fontId="0" fillId="0" borderId="1" xfId="0" applyNumberFormat="1" applyBorder="1"/>
    <xf numFmtId="0" fontId="3" fillId="0" borderId="1" xfId="0" applyFont="1" applyBorder="1" applyAlignment="1">
      <alignment wrapText="1"/>
    </xf>
    <xf numFmtId="168" fontId="0" fillId="4" borderId="1" xfId="0" applyNumberFormat="1" applyFill="1" applyBorder="1"/>
    <xf numFmtId="168" fontId="0" fillId="0" borderId="8" xfId="0" applyNumberFormat="1" applyBorder="1"/>
    <xf numFmtId="168" fontId="0" fillId="0" borderId="16" xfId="0" applyNumberFormat="1" applyBorder="1"/>
    <xf numFmtId="0" fontId="3" fillId="4" borderId="0" xfId="0" applyFont="1" applyFill="1" applyAlignment="1">
      <alignment horizontal="right"/>
    </xf>
    <xf numFmtId="168" fontId="0" fillId="4" borderId="0" xfId="0" applyNumberFormat="1" applyFill="1"/>
    <xf numFmtId="169" fontId="0" fillId="0" borderId="1" xfId="0" applyNumberFormat="1" applyBorder="1"/>
    <xf numFmtId="0" fontId="3" fillId="0" borderId="0" xfId="0" applyFont="1" applyAlignment="1">
      <alignment horizontal="center"/>
    </xf>
    <xf numFmtId="169" fontId="0" fillId="0" borderId="0" xfId="0" applyNumberFormat="1"/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9" fontId="0" fillId="0" borderId="11" xfId="0" applyNumberFormat="1" applyBorder="1"/>
    <xf numFmtId="0" fontId="4" fillId="3" borderId="7" xfId="0" applyFont="1" applyFill="1" applyBorder="1"/>
    <xf numFmtId="0" fontId="3" fillId="2" borderId="15" xfId="0" applyFont="1" applyFill="1" applyBorder="1"/>
    <xf numFmtId="0" fontId="3" fillId="2" borderId="0" xfId="0" applyFont="1" applyFill="1" applyAlignment="1">
      <alignment horizontal="right"/>
    </xf>
    <xf numFmtId="0" fontId="3" fillId="3" borderId="1" xfId="0" applyFont="1" applyFill="1" applyBorder="1"/>
    <xf numFmtId="166" fontId="4" fillId="0" borderId="1" xfId="0" applyNumberFormat="1" applyFont="1" applyFill="1" applyBorder="1"/>
    <xf numFmtId="0" fontId="4" fillId="0" borderId="1" xfId="0" applyFont="1" applyFill="1" applyBorder="1"/>
    <xf numFmtId="0" fontId="3" fillId="0" borderId="1" xfId="0" applyFont="1" applyFill="1" applyBorder="1"/>
    <xf numFmtId="169" fontId="0" fillId="0" borderId="1" xfId="0" applyNumberFormat="1" applyFill="1" applyBorder="1"/>
    <xf numFmtId="9" fontId="0" fillId="11" borderId="0" xfId="0" applyNumberFormat="1" applyFill="1"/>
    <xf numFmtId="0" fontId="0" fillId="0" borderId="13" xfId="0" applyBorder="1"/>
    <xf numFmtId="0" fontId="0" fillId="0" borderId="0" xfId="0" applyFill="1" applyBorder="1"/>
    <xf numFmtId="1" fontId="0" fillId="0" borderId="0" xfId="0" applyNumberFormat="1" applyFill="1" applyBorder="1"/>
    <xf numFmtId="2" fontId="0" fillId="6" borderId="4" xfId="0" applyNumberFormat="1" applyFill="1" applyBorder="1"/>
    <xf numFmtId="0" fontId="0" fillId="0" borderId="14" xfId="0" applyBorder="1"/>
    <xf numFmtId="0" fontId="0" fillId="0" borderId="53" xfId="0" applyBorder="1"/>
    <xf numFmtId="169" fontId="3" fillId="0" borderId="8" xfId="0" applyNumberFormat="1" applyFont="1" applyBorder="1" applyAlignment="1"/>
    <xf numFmtId="164" fontId="0" fillId="0" borderId="1" xfId="9" applyNumberFormat="1" applyFont="1" applyBorder="1"/>
    <xf numFmtId="164" fontId="0" fillId="0" borderId="11" xfId="9" applyNumberFormat="1" applyFont="1" applyBorder="1"/>
    <xf numFmtId="0" fontId="0" fillId="0" borderId="0" xfId="0"/>
    <xf numFmtId="42" fontId="0" fillId="0" borderId="0" xfId="0" applyNumberFormat="1"/>
    <xf numFmtId="9" fontId="0" fillId="0" borderId="0" xfId="0" applyNumberFormat="1"/>
    <xf numFmtId="0" fontId="0" fillId="0" borderId="0" xfId="0" applyFill="1"/>
    <xf numFmtId="42" fontId="0" fillId="0" borderId="0" xfId="0" applyNumberFormat="1"/>
    <xf numFmtId="169" fontId="3" fillId="0" borderId="1" xfId="0" applyNumberFormat="1" applyFont="1" applyBorder="1" applyAlignment="1"/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3" borderId="1" xfId="0" applyFill="1" applyBorder="1"/>
    <xf numFmtId="0" fontId="0" fillId="3" borderId="0" xfId="0" applyFill="1"/>
    <xf numFmtId="0" fontId="0" fillId="4" borderId="0" xfId="0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4" borderId="6" xfId="0" applyFill="1" applyBorder="1"/>
    <xf numFmtId="42" fontId="0" fillId="0" borderId="0" xfId="6" applyFont="1"/>
    <xf numFmtId="42" fontId="0" fillId="0" borderId="0" xfId="0" applyNumberFormat="1"/>
    <xf numFmtId="42" fontId="0" fillId="0" borderId="6" xfId="0" applyNumberFormat="1" applyBorder="1"/>
    <xf numFmtId="2" fontId="0" fillId="2" borderId="1" xfId="0" applyNumberFormat="1" applyFill="1" applyBorder="1"/>
    <xf numFmtId="9" fontId="0" fillId="0" borderId="0" xfId="0" applyNumberFormat="1"/>
    <xf numFmtId="0" fontId="0" fillId="4" borderId="0" xfId="0" applyFill="1" applyBorder="1"/>
    <xf numFmtId="0" fontId="0" fillId="6" borderId="2" xfId="0" applyFill="1" applyBorder="1"/>
    <xf numFmtId="2" fontId="0" fillId="0" borderId="0" xfId="0" applyNumberFormat="1"/>
    <xf numFmtId="4" fontId="0" fillId="0" borderId="6" xfId="0" applyNumberFormat="1" applyBorder="1"/>
    <xf numFmtId="0" fontId="0" fillId="0" borderId="0" xfId="0" applyFill="1"/>
    <xf numFmtId="0" fontId="0" fillId="7" borderId="0" xfId="0" applyFill="1"/>
    <xf numFmtId="0" fontId="3" fillId="0" borderId="0" xfId="0" applyFont="1"/>
    <xf numFmtId="0" fontId="0" fillId="0" borderId="0" xfId="0" applyBorder="1"/>
    <xf numFmtId="165" fontId="0" fillId="3" borderId="0" xfId="0" applyNumberFormat="1" applyFill="1"/>
    <xf numFmtId="3" fontId="0" fillId="0" borderId="0" xfId="0" applyNumberFormat="1" applyFill="1"/>
    <xf numFmtId="9" fontId="0" fillId="11" borderId="0" xfId="0" applyNumberFormat="1" applyFill="1"/>
    <xf numFmtId="2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4" fontId="0" fillId="0" borderId="1" xfId="16" applyNumberFormat="1" applyFont="1" applyBorder="1"/>
    <xf numFmtId="164" fontId="0" fillId="0" borderId="11" xfId="16" applyNumberFormat="1" applyFont="1" applyBorder="1"/>
    <xf numFmtId="164" fontId="0" fillId="0" borderId="0" xfId="16" applyNumberFormat="1" applyFont="1" applyBorder="1"/>
    <xf numFmtId="0" fontId="0" fillId="0" borderId="0" xfId="0" applyBorder="1" applyAlignment="1">
      <alignment horizontal="center"/>
    </xf>
    <xf numFmtId="0" fontId="3" fillId="3" borderId="0" xfId="0" applyFont="1" applyFill="1" applyBorder="1"/>
    <xf numFmtId="3" fontId="0" fillId="0" borderId="0" xfId="0" applyNumberFormat="1"/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6" xfId="0" applyBorder="1"/>
    <xf numFmtId="42" fontId="0" fillId="0" borderId="0" xfId="6" applyFont="1"/>
    <xf numFmtId="42" fontId="0" fillId="0" borderId="0" xfId="0" applyNumberFormat="1"/>
    <xf numFmtId="1" fontId="0" fillId="0" borderId="0" xfId="0" applyNumberFormat="1"/>
    <xf numFmtId="0" fontId="0" fillId="0" borderId="0" xfId="0" applyFill="1"/>
    <xf numFmtId="0" fontId="0" fillId="0" borderId="0" xfId="0" applyBorder="1"/>
    <xf numFmtId="0" fontId="0" fillId="0" borderId="6" xfId="0" applyFill="1" applyBorder="1"/>
    <xf numFmtId="0" fontId="3" fillId="2" borderId="0" xfId="0" applyFont="1" applyFill="1"/>
    <xf numFmtId="0" fontId="3" fillId="3" borderId="0" xfId="0" applyFont="1" applyFill="1"/>
    <xf numFmtId="0" fontId="0" fillId="4" borderId="12" xfId="0" applyFill="1" applyBorder="1"/>
    <xf numFmtId="0" fontId="0" fillId="3" borderId="6" xfId="0" applyFill="1" applyBorder="1"/>
    <xf numFmtId="0" fontId="3" fillId="0" borderId="1" xfId="0" applyFont="1" applyBorder="1"/>
    <xf numFmtId="0" fontId="0" fillId="3" borderId="0" xfId="0" applyFill="1" applyBorder="1"/>
    <xf numFmtId="0" fontId="0" fillId="2" borderId="12" xfId="0" applyFill="1" applyBorder="1"/>
    <xf numFmtId="42" fontId="0" fillId="0" borderId="6" xfId="6" applyFont="1" applyBorder="1"/>
    <xf numFmtId="42" fontId="0" fillId="3" borderId="0" xfId="0" applyNumberFormat="1" applyFill="1"/>
    <xf numFmtId="0" fontId="3" fillId="0" borderId="0" xfId="0" applyFont="1" applyFill="1"/>
    <xf numFmtId="0" fontId="0" fillId="5" borderId="0" xfId="0" applyFill="1"/>
    <xf numFmtId="0" fontId="0" fillId="0" borderId="0" xfId="0"/>
    <xf numFmtId="0" fontId="0" fillId="3" borderId="0" xfId="0" applyFill="1"/>
    <xf numFmtId="0" fontId="0" fillId="0" borderId="6" xfId="0" applyBorder="1"/>
    <xf numFmtId="42" fontId="0" fillId="0" borderId="0" xfId="6" applyFont="1"/>
    <xf numFmtId="42" fontId="0" fillId="0" borderId="0" xfId="0" applyNumberFormat="1"/>
    <xf numFmtId="0" fontId="3" fillId="0" borderId="0" xfId="0" applyFont="1"/>
    <xf numFmtId="0" fontId="0" fillId="0" borderId="0" xfId="0"/>
    <xf numFmtId="0" fontId="0" fillId="3" borderId="0" xfId="0" applyFill="1"/>
    <xf numFmtId="42" fontId="0" fillId="0" borderId="0" xfId="6" applyFont="1"/>
    <xf numFmtId="42" fontId="0" fillId="0" borderId="0" xfId="0" applyNumberFormat="1"/>
    <xf numFmtId="0" fontId="3" fillId="0" borderId="0" xfId="0" applyFont="1"/>
    <xf numFmtId="0" fontId="0" fillId="2" borderId="0" xfId="0" applyFill="1"/>
    <xf numFmtId="0" fontId="0" fillId="3" borderId="0" xfId="0" applyFill="1"/>
    <xf numFmtId="42" fontId="0" fillId="0" borderId="0" xfId="6" applyFont="1"/>
    <xf numFmtId="42" fontId="0" fillId="0" borderId="0" xfId="0" applyNumberFormat="1"/>
    <xf numFmtId="0" fontId="3" fillId="2" borderId="0" xfId="0" applyFont="1" applyFill="1"/>
    <xf numFmtId="0" fontId="0" fillId="3" borderId="0" xfId="0" applyFill="1" applyBorder="1"/>
    <xf numFmtId="0" fontId="0" fillId="2" borderId="12" xfId="0" applyFill="1" applyBorder="1"/>
    <xf numFmtId="42" fontId="0" fillId="0" borderId="6" xfId="6" applyFont="1" applyBorder="1"/>
    <xf numFmtId="42" fontId="0" fillId="3" borderId="0" xfId="0" applyNumberFormat="1" applyFill="1"/>
    <xf numFmtId="0" fontId="0" fillId="0" borderId="0" xfId="0"/>
    <xf numFmtId="0" fontId="0" fillId="0" borderId="1" xfId="0" applyBorder="1"/>
    <xf numFmtId="42" fontId="0" fillId="0" borderId="0" xfId="0" applyNumberFormat="1"/>
    <xf numFmtId="42" fontId="0" fillId="0" borderId="6" xfId="0" applyNumberFormat="1" applyBorder="1"/>
    <xf numFmtId="0" fontId="3" fillId="9" borderId="0" xfId="0" applyFont="1" applyFill="1"/>
    <xf numFmtId="42" fontId="0" fillId="2" borderId="0" xfId="0" applyNumberFormat="1" applyFill="1"/>
    <xf numFmtId="0" fontId="2" fillId="0" borderId="0" xfId="0" applyFont="1"/>
    <xf numFmtId="2" fontId="2" fillId="6" borderId="5" xfId="0" applyNumberFormat="1" applyFont="1" applyFill="1" applyBorder="1"/>
    <xf numFmtId="44" fontId="0" fillId="0" borderId="8" xfId="1" applyFont="1" applyBorder="1"/>
    <xf numFmtId="9" fontId="0" fillId="22" borderId="0" xfId="0" applyNumberFormat="1" applyFill="1"/>
    <xf numFmtId="0" fontId="0" fillId="3" borderId="13" xfId="0" applyFill="1" applyBorder="1"/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3" borderId="3" xfId="0" applyFill="1" applyBorder="1"/>
    <xf numFmtId="0" fontId="0" fillId="0" borderId="3" xfId="0" applyFill="1" applyBorder="1"/>
    <xf numFmtId="0" fontId="3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22" borderId="0" xfId="0" applyFill="1"/>
    <xf numFmtId="0" fontId="10" fillId="0" borderId="0" xfId="0" applyFont="1" applyFill="1"/>
    <xf numFmtId="0" fontId="9" fillId="0" borderId="0" xfId="0" applyFont="1" applyFill="1"/>
    <xf numFmtId="0" fontId="6" fillId="0" borderId="0" xfId="32"/>
    <xf numFmtId="0" fontId="6" fillId="4" borderId="19" xfId="32" applyFill="1" applyBorder="1"/>
    <xf numFmtId="0" fontId="6" fillId="4" borderId="13" xfId="32" applyFill="1" applyBorder="1"/>
    <xf numFmtId="0" fontId="6" fillId="4" borderId="20" xfId="32" applyFill="1" applyBorder="1"/>
    <xf numFmtId="0" fontId="6" fillId="4" borderId="21" xfId="32" applyFill="1" applyBorder="1"/>
    <xf numFmtId="0" fontId="6" fillId="4" borderId="22" xfId="32" applyFill="1" applyBorder="1"/>
    <xf numFmtId="0" fontId="5" fillId="4" borderId="0" xfId="32" applyFont="1" applyFill="1" applyAlignment="1">
      <alignment horizontal="center"/>
    </xf>
    <xf numFmtId="0" fontId="6" fillId="4" borderId="19" xfId="32" applyFill="1" applyBorder="1" applyAlignment="1">
      <alignment vertical="center"/>
    </xf>
    <xf numFmtId="0" fontId="6" fillId="4" borderId="0" xfId="32" applyFill="1"/>
    <xf numFmtId="165" fontId="0" fillId="12" borderId="5" xfId="33" applyNumberFormat="1" applyFont="1" applyFill="1" applyBorder="1"/>
    <xf numFmtId="0" fontId="6" fillId="4" borderId="21" xfId="32" applyFill="1" applyBorder="1" applyAlignment="1">
      <alignment vertical="center"/>
    </xf>
    <xf numFmtId="0" fontId="3" fillId="2" borderId="24" xfId="32" applyFont="1" applyFill="1" applyBorder="1" applyAlignment="1">
      <alignment horizontal="center"/>
    </xf>
    <xf numFmtId="0" fontId="3" fillId="13" borderId="25" xfId="32" applyFont="1" applyFill="1" applyBorder="1" applyAlignment="1">
      <alignment horizontal="center"/>
    </xf>
    <xf numFmtId="0" fontId="3" fillId="13" borderId="20" xfId="32" applyFont="1" applyFill="1" applyBorder="1" applyAlignment="1">
      <alignment horizontal="center"/>
    </xf>
    <xf numFmtId="0" fontId="3" fillId="4" borderId="5" xfId="32" applyFont="1" applyFill="1" applyBorder="1" applyAlignment="1">
      <alignment horizontal="center"/>
    </xf>
    <xf numFmtId="0" fontId="3" fillId="4" borderId="26" xfId="32" applyFont="1" applyFill="1" applyBorder="1" applyAlignment="1">
      <alignment horizontal="center"/>
    </xf>
    <xf numFmtId="170" fontId="7" fillId="2" borderId="28" xfId="32" applyNumberFormat="1" applyFont="1" applyFill="1" applyBorder="1" applyAlignment="1">
      <alignment horizontal="right" vertical="center"/>
    </xf>
    <xf numFmtId="170" fontId="7" fillId="13" borderId="28" xfId="32" applyNumberFormat="1" applyFont="1" applyFill="1" applyBorder="1" applyAlignment="1">
      <alignment horizontal="right" vertical="center"/>
    </xf>
    <xf numFmtId="44" fontId="0" fillId="13" borderId="28" xfId="5" applyFont="1" applyFill="1" applyBorder="1"/>
    <xf numFmtId="172" fontId="0" fillId="0" borderId="11" xfId="33" applyNumberFormat="1" applyFont="1" applyFill="1" applyBorder="1" applyAlignment="1">
      <alignment horizontal="center"/>
    </xf>
    <xf numFmtId="0" fontId="6" fillId="4" borderId="29" xfId="32" applyFill="1" applyBorder="1"/>
    <xf numFmtId="170" fontId="7" fillId="2" borderId="1" xfId="32" applyNumberFormat="1" applyFont="1" applyFill="1" applyBorder="1" applyAlignment="1">
      <alignment horizontal="right" vertical="center"/>
    </xf>
    <xf numFmtId="170" fontId="7" fillId="13" borderId="1" xfId="32" applyNumberFormat="1" applyFont="1" applyFill="1" applyBorder="1" applyAlignment="1">
      <alignment horizontal="right" vertical="center"/>
    </xf>
    <xf numFmtId="44" fontId="0" fillId="13" borderId="1" xfId="5" applyFont="1" applyFill="1" applyBorder="1"/>
    <xf numFmtId="172" fontId="0" fillId="0" borderId="1" xfId="33" applyNumberFormat="1" applyFont="1" applyFill="1" applyBorder="1" applyAlignment="1">
      <alignment horizontal="center"/>
    </xf>
    <xf numFmtId="0" fontId="6" fillId="14" borderId="31" xfId="32" applyFill="1" applyBorder="1"/>
    <xf numFmtId="0" fontId="6" fillId="15" borderId="31" xfId="32" applyFill="1" applyBorder="1"/>
    <xf numFmtId="0" fontId="6" fillId="4" borderId="31" xfId="32" applyFill="1" applyBorder="1"/>
    <xf numFmtId="42" fontId="0" fillId="2" borderId="1" xfId="6" applyFont="1" applyFill="1" applyBorder="1"/>
    <xf numFmtId="42" fontId="0" fillId="13" borderId="1" xfId="6" applyFont="1" applyFill="1" applyBorder="1"/>
    <xf numFmtId="42" fontId="0" fillId="4" borderId="1" xfId="6" applyFont="1" applyFill="1" applyBorder="1"/>
    <xf numFmtId="0" fontId="6" fillId="4" borderId="1" xfId="32" applyFill="1" applyBorder="1"/>
    <xf numFmtId="10" fontId="0" fillId="4" borderId="1" xfId="33" applyNumberFormat="1" applyFont="1" applyFill="1" applyBorder="1" applyAlignment="1">
      <alignment horizontal="center"/>
    </xf>
    <xf numFmtId="44" fontId="0" fillId="4" borderId="1" xfId="5" applyFont="1" applyFill="1" applyBorder="1"/>
    <xf numFmtId="42" fontId="0" fillId="4" borderId="33" xfId="6" applyFont="1" applyFill="1" applyBorder="1"/>
    <xf numFmtId="0" fontId="6" fillId="4" borderId="33" xfId="32" applyFill="1" applyBorder="1"/>
    <xf numFmtId="10" fontId="0" fillId="4" borderId="33" xfId="33" applyNumberFormat="1" applyFont="1" applyFill="1" applyBorder="1" applyAlignment="1">
      <alignment horizontal="center"/>
    </xf>
    <xf numFmtId="0" fontId="6" fillId="4" borderId="34" xfId="32" applyFill="1" applyBorder="1"/>
    <xf numFmtId="0" fontId="6" fillId="4" borderId="0" xfId="32" applyFill="1" applyAlignment="1">
      <alignment horizontal="center"/>
    </xf>
    <xf numFmtId="0" fontId="6" fillId="4" borderId="27" xfId="32" applyFill="1" applyBorder="1"/>
    <xf numFmtId="0" fontId="6" fillId="4" borderId="28" xfId="32" applyFill="1" applyBorder="1"/>
    <xf numFmtId="174" fontId="0" fillId="12" borderId="29" xfId="7" applyNumberFormat="1" applyFont="1" applyFill="1" applyBorder="1"/>
    <xf numFmtId="0" fontId="6" fillId="4" borderId="0" xfId="32" applyFill="1" applyAlignment="1">
      <alignment horizontal="center" vertical="center"/>
    </xf>
    <xf numFmtId="0" fontId="6" fillId="4" borderId="32" xfId="32" applyFill="1" applyBorder="1"/>
    <xf numFmtId="174" fontId="0" fillId="12" borderId="34" xfId="7" applyNumberFormat="1" applyFont="1" applyFill="1" applyBorder="1" applyAlignment="1">
      <alignment horizontal="center"/>
    </xf>
    <xf numFmtId="174" fontId="0" fillId="0" borderId="0" xfId="7" applyNumberFormat="1" applyFont="1" applyBorder="1" applyAlignment="1">
      <alignment horizontal="center"/>
    </xf>
    <xf numFmtId="165" fontId="0" fillId="4" borderId="0" xfId="33" applyNumberFormat="1" applyFont="1" applyFill="1" applyBorder="1" applyAlignment="1">
      <alignment horizontal="center" vertical="center"/>
    </xf>
    <xf numFmtId="0" fontId="6" fillId="4" borderId="27" xfId="32" applyFill="1" applyBorder="1" applyAlignment="1">
      <alignment horizontal="left"/>
    </xf>
    <xf numFmtId="0" fontId="6" fillId="4" borderId="28" xfId="32" applyFill="1" applyBorder="1" applyAlignment="1">
      <alignment horizontal="left"/>
    </xf>
    <xf numFmtId="41" fontId="0" fillId="5" borderId="29" xfId="8" applyFont="1" applyFill="1" applyBorder="1"/>
    <xf numFmtId="165" fontId="0" fillId="12" borderId="34" xfId="33" applyNumberFormat="1" applyFont="1" applyFill="1" applyBorder="1"/>
    <xf numFmtId="0" fontId="6" fillId="4" borderId="36" xfId="32" applyFill="1" applyBorder="1" applyAlignment="1">
      <alignment horizontal="center"/>
    </xf>
    <xf numFmtId="165" fontId="0" fillId="4" borderId="37" xfId="33" applyNumberFormat="1" applyFont="1" applyFill="1" applyBorder="1" applyAlignment="1">
      <alignment horizontal="center"/>
    </xf>
    <xf numFmtId="0" fontId="6" fillId="4" borderId="38" xfId="32" applyFill="1" applyBorder="1" applyAlignment="1">
      <alignment horizontal="center"/>
    </xf>
    <xf numFmtId="175" fontId="0" fillId="4" borderId="37" xfId="33" applyNumberFormat="1" applyFont="1" applyFill="1" applyBorder="1" applyAlignment="1">
      <alignment horizontal="center"/>
    </xf>
    <xf numFmtId="0" fontId="6" fillId="4" borderId="39" xfId="32" applyFill="1" applyBorder="1" applyAlignment="1">
      <alignment horizontal="center"/>
    </xf>
    <xf numFmtId="0" fontId="6" fillId="4" borderId="40" xfId="32" applyFill="1" applyBorder="1" applyAlignment="1">
      <alignment horizontal="center"/>
    </xf>
    <xf numFmtId="175" fontId="0" fillId="4" borderId="41" xfId="33" applyNumberFormat="1" applyFont="1" applyFill="1" applyBorder="1" applyAlignment="1">
      <alignment horizontal="center"/>
    </xf>
    <xf numFmtId="0" fontId="6" fillId="4" borderId="42" xfId="32" applyFill="1" applyBorder="1" applyAlignment="1">
      <alignment horizontal="center"/>
    </xf>
    <xf numFmtId="0" fontId="6" fillId="4" borderId="43" xfId="32" applyFill="1" applyBorder="1" applyAlignment="1">
      <alignment horizontal="center"/>
    </xf>
    <xf numFmtId="0" fontId="6" fillId="0" borderId="21" xfId="32" applyBorder="1"/>
    <xf numFmtId="0" fontId="6" fillId="4" borderId="44" xfId="32" applyFill="1" applyBorder="1" applyAlignment="1">
      <alignment horizontal="center"/>
    </xf>
    <xf numFmtId="175" fontId="0" fillId="4" borderId="45" xfId="33" applyNumberFormat="1" applyFont="1" applyFill="1" applyBorder="1" applyAlignment="1">
      <alignment horizontal="center"/>
    </xf>
    <xf numFmtId="0" fontId="6" fillId="4" borderId="46" xfId="32" applyFill="1" applyBorder="1" applyAlignment="1">
      <alignment horizontal="center"/>
    </xf>
    <xf numFmtId="0" fontId="6" fillId="4" borderId="47" xfId="32" applyFill="1" applyBorder="1" applyAlignment="1">
      <alignment horizontal="center"/>
    </xf>
    <xf numFmtId="0" fontId="8" fillId="4" borderId="19" xfId="32" applyFont="1" applyFill="1" applyBorder="1"/>
    <xf numFmtId="0" fontId="8" fillId="4" borderId="20" xfId="32" applyFont="1" applyFill="1" applyBorder="1"/>
    <xf numFmtId="0" fontId="3" fillId="4" borderId="20" xfId="32" applyFont="1" applyFill="1" applyBorder="1" applyAlignment="1">
      <alignment horizontal="center"/>
    </xf>
    <xf numFmtId="0" fontId="8" fillId="4" borderId="26" xfId="32" applyFont="1" applyFill="1" applyBorder="1" applyAlignment="1">
      <alignment horizontal="center"/>
    </xf>
    <xf numFmtId="171" fontId="0" fillId="4" borderId="37" xfId="6" applyNumberFormat="1" applyFont="1" applyFill="1" applyBorder="1" applyAlignment="1">
      <alignment horizontal="center"/>
    </xf>
    <xf numFmtId="42" fontId="0" fillId="13" borderId="39" xfId="6" applyFont="1" applyFill="1" applyBorder="1" applyAlignment="1">
      <alignment horizontal="center"/>
    </xf>
    <xf numFmtId="170" fontId="6" fillId="4" borderId="37" xfId="32" applyNumberFormat="1" applyFill="1" applyBorder="1"/>
    <xf numFmtId="0" fontId="6" fillId="4" borderId="48" xfId="32" applyFill="1" applyBorder="1" applyAlignment="1">
      <alignment vertical="center"/>
    </xf>
    <xf numFmtId="0" fontId="6" fillId="4" borderId="6" xfId="32" applyFill="1" applyBorder="1"/>
    <xf numFmtId="0" fontId="6" fillId="4" borderId="49" xfId="32" applyFill="1" applyBorder="1"/>
    <xf numFmtId="171" fontId="0" fillId="5" borderId="37" xfId="6" applyNumberFormat="1" applyFont="1" applyFill="1" applyBorder="1" applyAlignment="1">
      <alignment horizontal="center"/>
    </xf>
    <xf numFmtId="42" fontId="0" fillId="4" borderId="39" xfId="6" applyFont="1" applyFill="1" applyBorder="1" applyAlignment="1">
      <alignment horizontal="center"/>
    </xf>
    <xf numFmtId="173" fontId="6" fillId="4" borderId="41" xfId="32" applyNumberFormat="1" applyFill="1" applyBorder="1"/>
    <xf numFmtId="0" fontId="6" fillId="0" borderId="0" xfId="32" applyAlignment="1">
      <alignment vertical="center"/>
    </xf>
    <xf numFmtId="42" fontId="0" fillId="0" borderId="41" xfId="6" applyFont="1" applyFill="1" applyBorder="1" applyAlignment="1">
      <alignment horizontal="center"/>
    </xf>
    <xf numFmtId="42" fontId="0" fillId="4" borderId="41" xfId="6" applyFont="1" applyFill="1" applyBorder="1" applyAlignment="1">
      <alignment horizontal="center"/>
    </xf>
    <xf numFmtId="42" fontId="0" fillId="4" borderId="43" xfId="6" applyFont="1" applyFill="1" applyBorder="1" applyAlignment="1">
      <alignment horizontal="center"/>
    </xf>
    <xf numFmtId="42" fontId="0" fillId="4" borderId="45" xfId="6" applyFont="1" applyFill="1" applyBorder="1" applyAlignment="1">
      <alignment horizontal="center"/>
    </xf>
    <xf numFmtId="42" fontId="0" fillId="4" borderId="47" xfId="6" applyFont="1" applyFill="1" applyBorder="1" applyAlignment="1">
      <alignment horizontal="center"/>
    </xf>
    <xf numFmtId="173" fontId="6" fillId="4" borderId="45" xfId="32" applyNumberFormat="1" applyFill="1" applyBorder="1"/>
    <xf numFmtId="173" fontId="6" fillId="0" borderId="0" xfId="32" applyNumberFormat="1"/>
    <xf numFmtId="173" fontId="6" fillId="4" borderId="36" xfId="32" applyNumberFormat="1" applyFill="1" applyBorder="1"/>
    <xf numFmtId="176" fontId="0" fillId="4" borderId="37" xfId="6" applyNumberFormat="1" applyFont="1" applyFill="1" applyBorder="1"/>
    <xf numFmtId="173" fontId="6" fillId="4" borderId="37" xfId="32" applyNumberFormat="1" applyFill="1" applyBorder="1"/>
    <xf numFmtId="173" fontId="6" fillId="4" borderId="40" xfId="32" applyNumberFormat="1" applyFill="1" applyBorder="1"/>
    <xf numFmtId="176" fontId="0" fillId="4" borderId="41" xfId="6" applyNumberFormat="1" applyFont="1" applyFill="1" applyBorder="1"/>
    <xf numFmtId="181" fontId="6" fillId="0" borderId="0" xfId="32" applyNumberFormat="1"/>
    <xf numFmtId="173" fontId="6" fillId="4" borderId="44" xfId="32" applyNumberFormat="1" applyFill="1" applyBorder="1"/>
    <xf numFmtId="176" fontId="0" fillId="4" borderId="45" xfId="6" applyNumberFormat="1" applyFont="1" applyFill="1" applyBorder="1"/>
    <xf numFmtId="9" fontId="6" fillId="4" borderId="0" xfId="32" applyNumberFormat="1" applyFill="1"/>
    <xf numFmtId="173" fontId="6" fillId="8" borderId="26" xfId="32" applyNumberFormat="1" applyFill="1" applyBorder="1"/>
    <xf numFmtId="42" fontId="0" fillId="4" borderId="38" xfId="6" applyFont="1" applyFill="1" applyBorder="1" applyAlignment="1">
      <alignment horizontal="center"/>
    </xf>
    <xf numFmtId="176" fontId="0" fillId="4" borderId="37" xfId="6" applyNumberFormat="1" applyFont="1" applyFill="1" applyBorder="1" applyAlignment="1">
      <alignment horizontal="center"/>
    </xf>
    <xf numFmtId="42" fontId="0" fillId="4" borderId="42" xfId="6" applyFont="1" applyFill="1" applyBorder="1" applyAlignment="1">
      <alignment horizontal="center"/>
    </xf>
    <xf numFmtId="176" fontId="0" fillId="4" borderId="41" xfId="6" applyNumberFormat="1" applyFont="1" applyFill="1" applyBorder="1" applyAlignment="1">
      <alignment horizontal="center"/>
    </xf>
    <xf numFmtId="42" fontId="0" fillId="4" borderId="46" xfId="6" applyFont="1" applyFill="1" applyBorder="1" applyAlignment="1">
      <alignment horizontal="center"/>
    </xf>
    <xf numFmtId="176" fontId="0" fillId="4" borderId="45" xfId="6" applyNumberFormat="1" applyFont="1" applyFill="1" applyBorder="1" applyAlignment="1">
      <alignment horizontal="center"/>
    </xf>
    <xf numFmtId="0" fontId="5" fillId="12" borderId="2" xfId="32" applyFont="1" applyFill="1" applyBorder="1"/>
    <xf numFmtId="173" fontId="6" fillId="4" borderId="0" xfId="32" applyNumberFormat="1" applyFill="1"/>
    <xf numFmtId="0" fontId="6" fillId="4" borderId="48" xfId="32" applyFill="1" applyBorder="1"/>
    <xf numFmtId="0" fontId="8" fillId="18" borderId="23" xfId="32" applyFont="1" applyFill="1" applyBorder="1"/>
    <xf numFmtId="0" fontId="6" fillId="18" borderId="24" xfId="32" applyFill="1" applyBorder="1"/>
    <xf numFmtId="41" fontId="6" fillId="18" borderId="28" xfId="32" applyNumberFormat="1" applyFill="1" applyBorder="1"/>
    <xf numFmtId="41" fontId="6" fillId="4" borderId="28" xfId="32" applyNumberFormat="1" applyFill="1" applyBorder="1"/>
    <xf numFmtId="0" fontId="8" fillId="17" borderId="36" xfId="32" applyFont="1" applyFill="1" applyBorder="1"/>
    <xf numFmtId="41" fontId="6" fillId="17" borderId="54" xfId="32" applyNumberFormat="1" applyFill="1" applyBorder="1"/>
    <xf numFmtId="41" fontId="6" fillId="17" borderId="28" xfId="32" applyNumberFormat="1" applyFill="1" applyBorder="1"/>
    <xf numFmtId="41" fontId="6" fillId="17" borderId="29" xfId="32" applyNumberFormat="1" applyFill="1" applyBorder="1"/>
    <xf numFmtId="0" fontId="6" fillId="4" borderId="37" xfId="32" applyFill="1" applyBorder="1"/>
    <xf numFmtId="0" fontId="6" fillId="4" borderId="8" xfId="32" applyFill="1" applyBorder="1"/>
    <xf numFmtId="1" fontId="6" fillId="4" borderId="1" xfId="32" applyNumberFormat="1" applyFill="1" applyBorder="1"/>
    <xf numFmtId="0" fontId="0" fillId="17" borderId="30" xfId="6" applyNumberFormat="1" applyFont="1" applyFill="1" applyBorder="1"/>
    <xf numFmtId="0" fontId="6" fillId="17" borderId="8" xfId="32" applyFill="1" applyBorder="1"/>
    <xf numFmtId="0" fontId="6" fillId="17" borderId="1" xfId="32" applyFill="1" applyBorder="1"/>
    <xf numFmtId="0" fontId="6" fillId="17" borderId="7" xfId="32" applyFill="1" applyBorder="1"/>
    <xf numFmtId="0" fontId="6" fillId="4" borderId="41" xfId="32" applyFill="1" applyBorder="1"/>
    <xf numFmtId="41" fontId="6" fillId="4" borderId="8" xfId="32" applyNumberFormat="1" applyFill="1" applyBorder="1"/>
    <xf numFmtId="41" fontId="6" fillId="4" borderId="1" xfId="32" applyNumberFormat="1" applyFill="1" applyBorder="1"/>
    <xf numFmtId="173" fontId="6" fillId="17" borderId="8" xfId="32" applyNumberFormat="1" applyFill="1" applyBorder="1"/>
    <xf numFmtId="41" fontId="6" fillId="17" borderId="1" xfId="32" applyNumberFormat="1" applyFill="1" applyBorder="1"/>
    <xf numFmtId="41" fontId="6" fillId="17" borderId="31" xfId="32" applyNumberFormat="1" applyFill="1" applyBorder="1"/>
    <xf numFmtId="0" fontId="6" fillId="4" borderId="45" xfId="32" applyFill="1" applyBorder="1"/>
    <xf numFmtId="42" fontId="0" fillId="4" borderId="0" xfId="6" applyFont="1" applyFill="1" applyBorder="1"/>
    <xf numFmtId="0" fontId="6" fillId="18" borderId="0" xfId="32" applyFill="1"/>
    <xf numFmtId="0" fontId="6" fillId="17" borderId="21" xfId="32" applyFill="1" applyBorder="1"/>
    <xf numFmtId="0" fontId="6" fillId="17" borderId="0" xfId="32" applyFill="1"/>
    <xf numFmtId="0" fontId="6" fillId="13" borderId="0" xfId="32" applyFill="1"/>
    <xf numFmtId="182" fontId="6" fillId="13" borderId="22" xfId="32" applyNumberFormat="1" applyFill="1" applyBorder="1"/>
    <xf numFmtId="0" fontId="6" fillId="19" borderId="0" xfId="32" applyFill="1"/>
    <xf numFmtId="173" fontId="6" fillId="19" borderId="0" xfId="32" applyNumberFormat="1" applyFill="1"/>
    <xf numFmtId="173" fontId="6" fillId="17" borderId="0" xfId="32" applyNumberFormat="1" applyFill="1"/>
    <xf numFmtId="0" fontId="6" fillId="13" borderId="22" xfId="32" applyFill="1" applyBorder="1"/>
    <xf numFmtId="0" fontId="6" fillId="20" borderId="0" xfId="32" applyFill="1"/>
    <xf numFmtId="0" fontId="6" fillId="17" borderId="22" xfId="32" applyFill="1" applyBorder="1"/>
    <xf numFmtId="0" fontId="6" fillId="21" borderId="0" xfId="32" applyFill="1"/>
    <xf numFmtId="41" fontId="6" fillId="4" borderId="0" xfId="32" applyNumberFormat="1" applyFill="1"/>
    <xf numFmtId="0" fontId="6" fillId="17" borderId="27" xfId="32" applyFill="1" applyBorder="1"/>
    <xf numFmtId="0" fontId="6" fillId="17" borderId="54" xfId="32" applyFill="1" applyBorder="1"/>
    <xf numFmtId="0" fontId="6" fillId="17" borderId="29" xfId="32" applyFill="1" applyBorder="1"/>
    <xf numFmtId="41" fontId="6" fillId="4" borderId="33" xfId="32" applyNumberFormat="1" applyFill="1" applyBorder="1"/>
    <xf numFmtId="177" fontId="6" fillId="4" borderId="34" xfId="32" applyNumberFormat="1" applyFill="1" applyBorder="1"/>
    <xf numFmtId="41" fontId="6" fillId="17" borderId="32" xfId="32" applyNumberFormat="1" applyFill="1" applyBorder="1"/>
    <xf numFmtId="41" fontId="6" fillId="17" borderId="55" xfId="32" applyNumberFormat="1" applyFill="1" applyBorder="1"/>
    <xf numFmtId="177" fontId="6" fillId="17" borderId="34" xfId="32" applyNumberFormat="1" applyFill="1" applyBorder="1"/>
    <xf numFmtId="177" fontId="6" fillId="17" borderId="39" xfId="32" applyNumberFormat="1" applyFill="1" applyBorder="1"/>
    <xf numFmtId="0" fontId="6" fillId="4" borderId="30" xfId="32" applyFill="1" applyBorder="1"/>
    <xf numFmtId="0" fontId="6" fillId="17" borderId="43" xfId="32" applyFill="1" applyBorder="1"/>
    <xf numFmtId="178" fontId="6" fillId="4" borderId="34" xfId="32" applyNumberFormat="1" applyFill="1" applyBorder="1"/>
    <xf numFmtId="178" fontId="6" fillId="17" borderId="47" xfId="32" applyNumberFormat="1" applyFill="1" applyBorder="1"/>
    <xf numFmtId="179" fontId="6" fillId="4" borderId="1" xfId="32" applyNumberFormat="1" applyFill="1" applyBorder="1"/>
    <xf numFmtId="180" fontId="6" fillId="4" borderId="0" xfId="32" applyNumberFormat="1" applyFill="1"/>
    <xf numFmtId="179" fontId="6" fillId="17" borderId="1" xfId="32" applyNumberFormat="1" applyFill="1" applyBorder="1"/>
    <xf numFmtId="42" fontId="0" fillId="17" borderId="1" xfId="6" applyFont="1" applyFill="1" applyBorder="1"/>
    <xf numFmtId="173" fontId="6" fillId="4" borderId="1" xfId="32" applyNumberFormat="1" applyFill="1" applyBorder="1"/>
    <xf numFmtId="173" fontId="6" fillId="17" borderId="1" xfId="32" applyNumberFormat="1" applyFill="1" applyBorder="1"/>
    <xf numFmtId="173" fontId="6" fillId="17" borderId="21" xfId="32" applyNumberFormat="1" applyFill="1" applyBorder="1"/>
    <xf numFmtId="176" fontId="6" fillId="17" borderId="21" xfId="32" applyNumberFormat="1" applyFill="1" applyBorder="1"/>
    <xf numFmtId="173" fontId="8" fillId="4" borderId="0" xfId="32" applyNumberFormat="1" applyFont="1" applyFill="1"/>
    <xf numFmtId="173" fontId="8" fillId="17" borderId="0" xfId="32" applyNumberFormat="1" applyFont="1" applyFill="1"/>
    <xf numFmtId="173" fontId="6" fillId="17" borderId="22" xfId="32" applyNumberFormat="1" applyFill="1" applyBorder="1"/>
    <xf numFmtId="0" fontId="3" fillId="4" borderId="0" xfId="32" applyFont="1" applyFill="1"/>
    <xf numFmtId="173" fontId="3" fillId="4" borderId="0" xfId="32" applyNumberFormat="1" applyFont="1" applyFill="1"/>
    <xf numFmtId="176" fontId="6" fillId="4" borderId="0" xfId="32" applyNumberFormat="1" applyFill="1"/>
    <xf numFmtId="176" fontId="6" fillId="17" borderId="0" xfId="32" applyNumberFormat="1" applyFill="1"/>
    <xf numFmtId="176" fontId="6" fillId="17" borderId="22" xfId="32" applyNumberFormat="1" applyFill="1" applyBorder="1"/>
    <xf numFmtId="0" fontId="6" fillId="17" borderId="28" xfId="32" applyFill="1" applyBorder="1"/>
    <xf numFmtId="42" fontId="6" fillId="4" borderId="32" xfId="2" applyFont="1" applyFill="1" applyBorder="1"/>
    <xf numFmtId="42" fontId="6" fillId="4" borderId="33" xfId="2" applyFont="1" applyFill="1" applyBorder="1"/>
    <xf numFmtId="42" fontId="6" fillId="4" borderId="34" xfId="2" applyFont="1" applyFill="1" applyBorder="1"/>
    <xf numFmtId="0" fontId="6" fillId="17" borderId="48" xfId="32" applyFill="1" applyBorder="1"/>
    <xf numFmtId="0" fontId="6" fillId="17" borderId="6" xfId="32" applyFill="1" applyBorder="1"/>
    <xf numFmtId="42" fontId="6" fillId="17" borderId="32" xfId="2" applyFont="1" applyFill="1" applyBorder="1"/>
    <xf numFmtId="42" fontId="6" fillId="17" borderId="33" xfId="2" applyFont="1" applyFill="1" applyBorder="1"/>
    <xf numFmtId="42" fontId="6" fillId="17" borderId="34" xfId="2" applyFont="1" applyFill="1" applyBorder="1"/>
    <xf numFmtId="176" fontId="6" fillId="17" borderId="6" xfId="32" applyNumberFormat="1" applyFill="1" applyBorder="1"/>
    <xf numFmtId="176" fontId="6" fillId="17" borderId="49" xfId="32" applyNumberFormat="1" applyFill="1" applyBorder="1"/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4" fontId="0" fillId="0" borderId="0" xfId="1" applyFont="1"/>
    <xf numFmtId="0" fontId="0" fillId="23" borderId="0" xfId="0" applyFill="1"/>
    <xf numFmtId="44" fontId="0" fillId="23" borderId="0" xfId="0" applyNumberFormat="1" applyFill="1"/>
    <xf numFmtId="164" fontId="0" fillId="0" borderId="0" xfId="1" applyNumberFormat="1" applyFont="1"/>
    <xf numFmtId="164" fontId="0" fillId="0" borderId="0" xfId="0" applyNumberFormat="1"/>
    <xf numFmtId="164" fontId="0" fillId="3" borderId="0" xfId="0" applyNumberFormat="1" applyFill="1"/>
    <xf numFmtId="177" fontId="6" fillId="17" borderId="37" xfId="32" applyNumberFormat="1" applyFill="1" applyBorder="1" applyAlignment="1">
      <alignment horizontal="center" vertical="center"/>
    </xf>
    <xf numFmtId="0" fontId="6" fillId="17" borderId="41" xfId="32" applyFill="1" applyBorder="1" applyAlignment="1">
      <alignment horizontal="center" vertical="center"/>
    </xf>
    <xf numFmtId="178" fontId="6" fillId="17" borderId="45" xfId="32" applyNumberFormat="1" applyFill="1" applyBorder="1" applyAlignment="1">
      <alignment horizontal="center" vertical="center"/>
    </xf>
    <xf numFmtId="42" fontId="0" fillId="0" borderId="0" xfId="6" applyFont="1" applyFill="1"/>
    <xf numFmtId="42" fontId="0" fillId="0" borderId="0" xfId="0" applyNumberFormat="1" applyFill="1"/>
    <xf numFmtId="0" fontId="6" fillId="0" borderId="19" xfId="32" applyBorder="1"/>
    <xf numFmtId="0" fontId="6" fillId="0" borderId="13" xfId="32" applyBorder="1"/>
    <xf numFmtId="0" fontId="6" fillId="0" borderId="20" xfId="32" applyBorder="1"/>
    <xf numFmtId="0" fontId="6" fillId="0" borderId="0" xfId="32" applyBorder="1"/>
    <xf numFmtId="171" fontId="6" fillId="0" borderId="22" xfId="32" applyNumberFormat="1" applyBorder="1"/>
    <xf numFmtId="10" fontId="6" fillId="0" borderId="0" xfId="32" applyNumberFormat="1" applyBorder="1"/>
    <xf numFmtId="170" fontId="6" fillId="0" borderId="22" xfId="32" applyNumberFormat="1" applyBorder="1"/>
    <xf numFmtId="0" fontId="6" fillId="2" borderId="0" xfId="32" applyFill="1" applyBorder="1"/>
    <xf numFmtId="0" fontId="6" fillId="2" borderId="22" xfId="32" applyFill="1" applyBorder="1"/>
    <xf numFmtId="0" fontId="6" fillId="0" borderId="22" xfId="32" applyBorder="1"/>
    <xf numFmtId="42" fontId="0" fillId="0" borderId="22" xfId="6" applyFont="1" applyBorder="1"/>
    <xf numFmtId="0" fontId="6" fillId="0" borderId="48" xfId="32" applyBorder="1"/>
    <xf numFmtId="0" fontId="6" fillId="0" borderId="6" xfId="32" applyBorder="1"/>
    <xf numFmtId="173" fontId="6" fillId="0" borderId="6" xfId="32" applyNumberFormat="1" applyBorder="1"/>
    <xf numFmtId="0" fontId="6" fillId="0" borderId="49" xfId="32" applyBorder="1"/>
    <xf numFmtId="0" fontId="6" fillId="0" borderId="21" xfId="32" applyBorder="1" applyAlignment="1">
      <alignment horizontal="right"/>
    </xf>
    <xf numFmtId="10" fontId="6" fillId="2" borderId="0" xfId="32" applyNumberFormat="1" applyFill="1" applyBorder="1"/>
    <xf numFmtId="0" fontId="0" fillId="0" borderId="18" xfId="0" applyBorder="1"/>
    <xf numFmtId="0" fontId="8" fillId="0" borderId="5" xfId="0" applyFont="1" applyBorder="1" applyAlignment="1">
      <alignment horizontal="center"/>
    </xf>
    <xf numFmtId="0" fontId="0" fillId="0" borderId="5" xfId="0" applyBorder="1"/>
    <xf numFmtId="9" fontId="0" fillId="3" borderId="5" xfId="0" applyNumberFormat="1" applyFill="1" applyBorder="1"/>
    <xf numFmtId="9" fontId="0" fillId="2" borderId="0" xfId="0" applyNumberFormat="1" applyFill="1"/>
    <xf numFmtId="9" fontId="0" fillId="0" borderId="5" xfId="0" applyNumberFormat="1" applyBorder="1"/>
    <xf numFmtId="0" fontId="8" fillId="0" borderId="26" xfId="0" applyFont="1" applyBorder="1"/>
    <xf numFmtId="0" fontId="8" fillId="0" borderId="56" xfId="0" applyFont="1" applyBorder="1"/>
    <xf numFmtId="0" fontId="8" fillId="0" borderId="56" xfId="0" applyFont="1" applyBorder="1" applyAlignment="1">
      <alignment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8" fillId="0" borderId="1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0" fillId="0" borderId="26" xfId="0" applyBorder="1"/>
    <xf numFmtId="8" fontId="0" fillId="0" borderId="0" xfId="0" applyNumberFormat="1"/>
    <xf numFmtId="10" fontId="0" fillId="0" borderId="0" xfId="0" applyNumberFormat="1"/>
    <xf numFmtId="44" fontId="0" fillId="0" borderId="1" xfId="1" applyFont="1" applyBorder="1"/>
    <xf numFmtId="44" fontId="0" fillId="0" borderId="1" xfId="0" applyNumberFormat="1" applyBorder="1"/>
    <xf numFmtId="0" fontId="0" fillId="24" borderId="0" xfId="0" applyFill="1"/>
    <xf numFmtId="164" fontId="0" fillId="24" borderId="0" xfId="0" applyNumberFormat="1" applyFill="1"/>
    <xf numFmtId="0" fontId="8" fillId="0" borderId="0" xfId="0" applyFont="1"/>
    <xf numFmtId="0" fontId="5" fillId="0" borderId="0" xfId="0" applyFont="1"/>
    <xf numFmtId="44" fontId="0" fillId="0" borderId="0" xfId="0" applyNumberFormat="1"/>
    <xf numFmtId="0" fontId="0" fillId="0" borderId="7" xfId="0" applyFill="1" applyBorder="1"/>
    <xf numFmtId="4" fontId="0" fillId="0" borderId="1" xfId="0" applyNumberFormat="1" applyBorder="1"/>
    <xf numFmtId="0" fontId="0" fillId="0" borderId="35" xfId="0" applyBorder="1"/>
    <xf numFmtId="4" fontId="0" fillId="4" borderId="35" xfId="0" applyNumberFormat="1" applyFill="1" applyBorder="1"/>
    <xf numFmtId="2" fontId="0" fillId="0" borderId="11" xfId="0" applyNumberFormat="1" applyBorder="1"/>
    <xf numFmtId="0" fontId="0" fillId="0" borderId="60" xfId="0" applyBorder="1"/>
    <xf numFmtId="2" fontId="0" fillId="0" borderId="61" xfId="0" applyNumberFormat="1" applyBorder="1"/>
    <xf numFmtId="0" fontId="0" fillId="0" borderId="30" xfId="0" applyBorder="1"/>
    <xf numFmtId="4" fontId="0" fillId="0" borderId="31" xfId="0" applyNumberFormat="1" applyBorder="1"/>
    <xf numFmtId="4" fontId="0" fillId="4" borderId="62" xfId="0" applyNumberFormat="1" applyFill="1" applyBorder="1"/>
    <xf numFmtId="0" fontId="3" fillId="0" borderId="0" xfId="0" applyFont="1" applyBorder="1"/>
    <xf numFmtId="0" fontId="0" fillId="0" borderId="22" xfId="0" applyBorder="1"/>
    <xf numFmtId="0" fontId="0" fillId="0" borderId="21" xfId="0" applyBorder="1"/>
    <xf numFmtId="2" fontId="0" fillId="0" borderId="0" xfId="0" applyNumberFormat="1" applyBorder="1"/>
    <xf numFmtId="4" fontId="0" fillId="0" borderId="0" xfId="0" applyNumberFormat="1" applyBorder="1"/>
    <xf numFmtId="4" fontId="0" fillId="4" borderId="0" xfId="0" applyNumberFormat="1" applyFill="1" applyBorder="1"/>
    <xf numFmtId="3" fontId="0" fillId="0" borderId="0" xfId="0" applyNumberFormat="1" applyFill="1" applyBorder="1"/>
    <xf numFmtId="3" fontId="0" fillId="22" borderId="0" xfId="0" applyNumberFormat="1" applyFill="1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8" xfId="0" applyBorder="1"/>
    <xf numFmtId="0" fontId="0" fillId="0" borderId="67" xfId="0" applyBorder="1"/>
    <xf numFmtId="0" fontId="0" fillId="0" borderId="72" xfId="0" applyBorder="1"/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4" fillId="0" borderId="67" xfId="0" applyFont="1" applyBorder="1"/>
    <xf numFmtId="0" fontId="3" fillId="0" borderId="64" xfId="0" applyFont="1" applyBorder="1"/>
    <xf numFmtId="9" fontId="0" fillId="22" borderId="0" xfId="0" applyNumberFormat="1" applyFill="1" applyBorder="1"/>
    <xf numFmtId="42" fontId="0" fillId="5" borderId="0" xfId="6" applyFont="1" applyFill="1" applyBorder="1"/>
    <xf numFmtId="3" fontId="0" fillId="0" borderId="0" xfId="0" applyNumberFormat="1" applyBorder="1"/>
    <xf numFmtId="3" fontId="0" fillId="0" borderId="75" xfId="0" applyNumberFormat="1" applyFill="1" applyBorder="1"/>
    <xf numFmtId="0" fontId="0" fillId="0" borderId="75" xfId="0" applyFill="1" applyBorder="1"/>
    <xf numFmtId="0" fontId="3" fillId="5" borderId="57" xfId="0" applyFont="1" applyFill="1" applyBorder="1"/>
    <xf numFmtId="0" fontId="3" fillId="5" borderId="59" xfId="0" applyFont="1" applyFill="1" applyBorder="1"/>
    <xf numFmtId="0" fontId="3" fillId="5" borderId="13" xfId="0" applyFont="1" applyFill="1" applyBorder="1"/>
    <xf numFmtId="0" fontId="3" fillId="5" borderId="20" xfId="0" applyFont="1" applyFill="1" applyBorder="1"/>
    <xf numFmtId="2" fontId="0" fillId="0" borderId="31" xfId="0" applyNumberFormat="1" applyBorder="1"/>
    <xf numFmtId="0" fontId="0" fillId="0" borderId="31" xfId="0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2" fontId="0" fillId="0" borderId="8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0" xfId="0" applyBorder="1" applyAlignment="1">
      <alignment horizontal="right"/>
    </xf>
    <xf numFmtId="0" fontId="3" fillId="5" borderId="37" xfId="0" applyFont="1" applyFill="1" applyBorder="1"/>
    <xf numFmtId="0" fontId="3" fillId="5" borderId="41" xfId="0" applyFont="1" applyFill="1" applyBorder="1"/>
    <xf numFmtId="0" fontId="3" fillId="5" borderId="45" xfId="0" applyFont="1" applyFill="1" applyBorder="1"/>
    <xf numFmtId="1" fontId="3" fillId="5" borderId="57" xfId="0" applyNumberFormat="1" applyFont="1" applyFill="1" applyBorder="1" applyAlignment="1">
      <alignment horizontal="right"/>
    </xf>
    <xf numFmtId="1" fontId="3" fillId="5" borderId="59" xfId="0" applyNumberFormat="1" applyFont="1" applyFill="1" applyBorder="1"/>
    <xf numFmtId="0" fontId="0" fillId="5" borderId="53" xfId="0" applyFill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3" fillId="5" borderId="58" xfId="0" applyFont="1" applyFill="1" applyBorder="1"/>
    <xf numFmtId="0" fontId="3" fillId="5" borderId="2" xfId="0" applyFont="1" applyFill="1" applyBorder="1"/>
    <xf numFmtId="0" fontId="12" fillId="27" borderId="0" xfId="0" applyFont="1" applyFill="1" applyAlignment="1">
      <alignment wrapText="1"/>
    </xf>
    <xf numFmtId="0" fontId="0" fillId="3" borderId="0" xfId="0" applyFill="1" applyAlignment="1">
      <alignment horizontal="center"/>
    </xf>
    <xf numFmtId="0" fontId="0" fillId="28" borderId="0" xfId="0" applyFill="1"/>
    <xf numFmtId="1" fontId="0" fillId="28" borderId="1" xfId="0" applyNumberFormat="1" applyFill="1" applyBorder="1" applyAlignment="1">
      <alignment horizontal="right"/>
    </xf>
    <xf numFmtId="0" fontId="0" fillId="28" borderId="19" xfId="0" applyFill="1" applyBorder="1"/>
    <xf numFmtId="2" fontId="0" fillId="0" borderId="28" xfId="0" applyNumberFormat="1" applyBorder="1" applyAlignment="1">
      <alignment horizontal="right"/>
    </xf>
    <xf numFmtId="2" fontId="0" fillId="0" borderId="29" xfId="0" applyNumberFormat="1" applyBorder="1"/>
    <xf numFmtId="0" fontId="0" fillId="28" borderId="21" xfId="0" applyFill="1" applyBorder="1"/>
    <xf numFmtId="1" fontId="0" fillId="28" borderId="31" xfId="0" applyNumberFormat="1" applyFill="1" applyBorder="1"/>
    <xf numFmtId="0" fontId="0" fillId="28" borderId="48" xfId="0" applyFill="1" applyBorder="1"/>
    <xf numFmtId="0" fontId="0" fillId="0" borderId="33" xfId="0" applyBorder="1" applyAlignment="1">
      <alignment horizontal="right"/>
    </xf>
    <xf numFmtId="0" fontId="0" fillId="28" borderId="1" xfId="0" applyFill="1" applyBorder="1"/>
    <xf numFmtId="9" fontId="0" fillId="28" borderId="0" xfId="0" applyNumberFormat="1" applyFill="1"/>
    <xf numFmtId="165" fontId="0" fillId="28" borderId="0" xfId="0" applyNumberFormat="1" applyFill="1"/>
    <xf numFmtId="0" fontId="3" fillId="28" borderId="69" xfId="0" applyFont="1" applyFill="1" applyBorder="1"/>
    <xf numFmtId="0" fontId="3" fillId="28" borderId="58" xfId="0" applyFont="1" applyFill="1" applyBorder="1"/>
    <xf numFmtId="0" fontId="3" fillId="28" borderId="59" xfId="0" applyFont="1" applyFill="1" applyBorder="1"/>
    <xf numFmtId="0" fontId="0" fillId="28" borderId="70" xfId="0" applyFill="1" applyBorder="1"/>
    <xf numFmtId="0" fontId="0" fillId="28" borderId="71" xfId="0" applyFill="1" applyBorder="1"/>
    <xf numFmtId="3" fontId="3" fillId="28" borderId="58" xfId="0" applyNumberFormat="1" applyFont="1" applyFill="1" applyBorder="1"/>
    <xf numFmtId="0" fontId="3" fillId="28" borderId="73" xfId="0" applyFont="1" applyFill="1" applyBorder="1"/>
    <xf numFmtId="3" fontId="3" fillId="28" borderId="4" xfId="0" applyNumberFormat="1" applyFont="1" applyFill="1" applyBorder="1"/>
    <xf numFmtId="3" fontId="3" fillId="28" borderId="59" xfId="0" applyNumberFormat="1" applyFont="1" applyFill="1" applyBorder="1"/>
    <xf numFmtId="0" fontId="0" fillId="28" borderId="6" xfId="0" applyFill="1" applyBorder="1"/>
    <xf numFmtId="0" fontId="3" fillId="28" borderId="0" xfId="0" applyFont="1" applyFill="1" applyBorder="1"/>
    <xf numFmtId="0" fontId="0" fillId="28" borderId="0" xfId="0" applyFill="1" applyBorder="1"/>
    <xf numFmtId="0" fontId="0" fillId="28" borderId="9" xfId="0" applyFill="1" applyBorder="1"/>
    <xf numFmtId="42" fontId="0" fillId="28" borderId="0" xfId="6" applyFont="1" applyFill="1"/>
    <xf numFmtId="0" fontId="3" fillId="28" borderId="0" xfId="0" applyFont="1" applyFill="1"/>
    <xf numFmtId="0" fontId="0" fillId="28" borderId="0" xfId="0" applyFill="1" applyAlignment="1">
      <alignment horizontal="center"/>
    </xf>
    <xf numFmtId="3" fontId="0" fillId="28" borderId="0" xfId="0" applyNumberFormat="1" applyFill="1" applyBorder="1"/>
    <xf numFmtId="1" fontId="0" fillId="3" borderId="1" xfId="0" applyNumberFormat="1" applyFill="1" applyBorder="1" applyAlignment="1">
      <alignment horizontal="right"/>
    </xf>
    <xf numFmtId="1" fontId="0" fillId="3" borderId="1" xfId="0" applyNumberFormat="1" applyFill="1" applyBorder="1"/>
    <xf numFmtId="3" fontId="0" fillId="3" borderId="0" xfId="0" applyNumberFormat="1" applyFill="1" applyBorder="1"/>
    <xf numFmtId="42" fontId="0" fillId="3" borderId="0" xfId="6" applyFont="1" applyFill="1" applyBorder="1"/>
    <xf numFmtId="42" fontId="0" fillId="3" borderId="0" xfId="6" applyFont="1" applyFill="1"/>
    <xf numFmtId="0" fontId="0" fillId="24" borderId="1" xfId="0" applyFill="1" applyBorder="1"/>
    <xf numFmtId="1" fontId="0" fillId="24" borderId="1" xfId="0" applyNumberFormat="1" applyFill="1" applyBorder="1" applyAlignment="1">
      <alignment horizontal="right"/>
    </xf>
    <xf numFmtId="1" fontId="0" fillId="24" borderId="1" xfId="0" applyNumberFormat="1" applyFill="1" applyBorder="1"/>
    <xf numFmtId="165" fontId="0" fillId="24" borderId="0" xfId="0" applyNumberFormat="1" applyFill="1"/>
    <xf numFmtId="9" fontId="0" fillId="24" borderId="0" xfId="0" applyNumberFormat="1" applyFill="1"/>
    <xf numFmtId="0" fontId="3" fillId="24" borderId="0" xfId="0" applyFont="1" applyFill="1"/>
    <xf numFmtId="0" fontId="0" fillId="24" borderId="0" xfId="0" applyFill="1" applyBorder="1"/>
    <xf numFmtId="0" fontId="3" fillId="24" borderId="0" xfId="0" applyFont="1" applyFill="1" applyBorder="1"/>
    <xf numFmtId="42" fontId="0" fillId="24" borderId="0" xfId="6" applyFont="1" applyFill="1"/>
    <xf numFmtId="0" fontId="0" fillId="24" borderId="0" xfId="0" applyFill="1" applyAlignment="1">
      <alignment horizontal="center"/>
    </xf>
    <xf numFmtId="3" fontId="0" fillId="24" borderId="0" xfId="0" applyNumberFormat="1" applyFill="1" applyBorder="1"/>
    <xf numFmtId="0" fontId="3" fillId="0" borderId="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6" borderId="1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12" fillId="27" borderId="0" xfId="0" applyFont="1" applyFill="1" applyAlignment="1">
      <alignment horizontal="center" wrapText="1"/>
    </xf>
    <xf numFmtId="0" fontId="0" fillId="0" borderId="1" xfId="0" applyBorder="1" applyAlignment="1">
      <alignment horizontal="center"/>
    </xf>
    <xf numFmtId="0" fontId="0" fillId="3" borderId="0" xfId="0" applyFill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18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10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left" vertical="top"/>
    </xf>
    <xf numFmtId="0" fontId="3" fillId="3" borderId="16" xfId="0" applyFont="1" applyFill="1" applyBorder="1" applyAlignment="1">
      <alignment horizontal="left" vertical="top"/>
    </xf>
    <xf numFmtId="0" fontId="3" fillId="3" borderId="0" xfId="0" applyFont="1" applyFill="1" applyAlignment="1">
      <alignment horizontal="right"/>
    </xf>
    <xf numFmtId="0" fontId="3" fillId="3" borderId="14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right"/>
    </xf>
    <xf numFmtId="0" fontId="3" fillId="10" borderId="0" xfId="0" applyFont="1" applyFill="1" applyAlignment="1">
      <alignment horizontal="center"/>
    </xf>
    <xf numFmtId="173" fontId="5" fillId="12" borderId="3" xfId="32" applyNumberFormat="1" applyFont="1" applyFill="1" applyBorder="1" applyAlignment="1">
      <alignment horizontal="right"/>
    </xf>
    <xf numFmtId="173" fontId="5" fillId="12" borderId="4" xfId="32" applyNumberFormat="1" applyFont="1" applyFill="1" applyBorder="1" applyAlignment="1">
      <alignment horizontal="right"/>
    </xf>
    <xf numFmtId="0" fontId="8" fillId="4" borderId="17" xfId="32" applyFont="1" applyFill="1" applyBorder="1" applyAlignment="1">
      <alignment horizontal="center"/>
    </xf>
    <xf numFmtId="0" fontId="6" fillId="4" borderId="0" xfId="32" applyFill="1" applyAlignment="1">
      <alignment horizontal="center"/>
    </xf>
    <xf numFmtId="0" fontId="8" fillId="4" borderId="0" xfId="32" applyFont="1" applyFill="1" applyAlignment="1">
      <alignment horizontal="center"/>
    </xf>
    <xf numFmtId="0" fontId="6" fillId="4" borderId="30" xfId="32" applyFill="1" applyBorder="1" applyAlignment="1">
      <alignment horizontal="left"/>
    </xf>
    <xf numFmtId="0" fontId="6" fillId="4" borderId="31" xfId="32" applyFill="1" applyBorder="1" applyAlignment="1">
      <alignment horizontal="left"/>
    </xf>
    <xf numFmtId="0" fontId="6" fillId="4" borderId="32" xfId="32" applyFill="1" applyBorder="1" applyAlignment="1">
      <alignment horizontal="left"/>
    </xf>
    <xf numFmtId="0" fontId="6" fillId="4" borderId="34" xfId="32" applyFill="1" applyBorder="1" applyAlignment="1">
      <alignment horizontal="left"/>
    </xf>
    <xf numFmtId="0" fontId="6" fillId="4" borderId="52" xfId="32" applyFill="1" applyBorder="1" applyAlignment="1">
      <alignment horizontal="left"/>
    </xf>
    <xf numFmtId="0" fontId="6" fillId="4" borderId="0" xfId="32" applyFill="1" applyAlignment="1">
      <alignment horizontal="left"/>
    </xf>
    <xf numFmtId="0" fontId="6" fillId="4" borderId="2" xfId="32" applyFill="1" applyBorder="1" applyAlignment="1">
      <alignment horizontal="center"/>
    </xf>
    <xf numFmtId="0" fontId="6" fillId="4" borderId="3" xfId="32" applyFill="1" applyBorder="1" applyAlignment="1">
      <alignment horizontal="center"/>
    </xf>
    <xf numFmtId="0" fontId="6" fillId="4" borderId="4" xfId="32" applyFill="1" applyBorder="1" applyAlignment="1">
      <alignment horizontal="center"/>
    </xf>
    <xf numFmtId="0" fontId="6" fillId="4" borderId="27" xfId="32" applyFill="1" applyBorder="1" applyAlignment="1">
      <alignment horizontal="left"/>
    </xf>
    <xf numFmtId="0" fontId="6" fillId="4" borderId="29" xfId="32" applyFill="1" applyBorder="1" applyAlignment="1">
      <alignment horizontal="left"/>
    </xf>
    <xf numFmtId="0" fontId="8" fillId="4" borderId="26" xfId="32" applyFont="1" applyFill="1" applyBorder="1" applyAlignment="1">
      <alignment horizontal="center"/>
    </xf>
    <xf numFmtId="0" fontId="8" fillId="4" borderId="50" xfId="32" applyFont="1" applyFill="1" applyBorder="1" applyAlignment="1">
      <alignment horizontal="center"/>
    </xf>
    <xf numFmtId="0" fontId="6" fillId="4" borderId="51" xfId="32" applyFill="1" applyBorder="1" applyAlignment="1">
      <alignment horizontal="left"/>
    </xf>
    <xf numFmtId="0" fontId="6" fillId="4" borderId="7" xfId="32" applyFill="1" applyBorder="1" applyAlignment="1">
      <alignment horizontal="left"/>
    </xf>
    <xf numFmtId="0" fontId="6" fillId="4" borderId="40" xfId="32" applyFill="1" applyBorder="1" applyAlignment="1">
      <alignment horizontal="left"/>
    </xf>
    <xf numFmtId="0" fontId="6" fillId="4" borderId="43" xfId="32" applyFill="1" applyBorder="1" applyAlignment="1">
      <alignment horizontal="left"/>
    </xf>
    <xf numFmtId="0" fontId="6" fillId="4" borderId="44" xfId="32" applyFill="1" applyBorder="1" applyAlignment="1">
      <alignment horizontal="left"/>
    </xf>
    <xf numFmtId="0" fontId="6" fillId="4" borderId="47" xfId="32" applyFill="1" applyBorder="1" applyAlignment="1">
      <alignment horizontal="left"/>
    </xf>
    <xf numFmtId="0" fontId="3" fillId="4" borderId="19" xfId="32" applyFont="1" applyFill="1" applyBorder="1" applyAlignment="1">
      <alignment horizontal="center"/>
    </xf>
    <xf numFmtId="0" fontId="3" fillId="4" borderId="13" xfId="32" applyFont="1" applyFill="1" applyBorder="1" applyAlignment="1">
      <alignment horizontal="center"/>
    </xf>
    <xf numFmtId="0" fontId="3" fillId="4" borderId="20" xfId="32" applyFont="1" applyFill="1" applyBorder="1" applyAlignment="1">
      <alignment horizontal="center"/>
    </xf>
    <xf numFmtId="0" fontId="6" fillId="4" borderId="36" xfId="32" applyFill="1" applyBorder="1" applyAlignment="1">
      <alignment horizontal="left"/>
    </xf>
    <xf numFmtId="0" fontId="6" fillId="4" borderId="39" xfId="32" applyFill="1" applyBorder="1" applyAlignment="1">
      <alignment horizontal="left"/>
    </xf>
    <xf numFmtId="0" fontId="6" fillId="16" borderId="40" xfId="32" applyFill="1" applyBorder="1" applyAlignment="1">
      <alignment horizontal="left"/>
    </xf>
    <xf numFmtId="0" fontId="6" fillId="16" borderId="43" xfId="32" applyFill="1" applyBorder="1" applyAlignment="1">
      <alignment horizontal="left"/>
    </xf>
    <xf numFmtId="0" fontId="6" fillId="0" borderId="22" xfId="32" applyBorder="1" applyAlignment="1">
      <alignment horizontal="center"/>
    </xf>
    <xf numFmtId="0" fontId="6" fillId="0" borderId="30" xfId="32" applyBorder="1" applyAlignment="1">
      <alignment horizontal="left"/>
    </xf>
    <xf numFmtId="0" fontId="6" fillId="0" borderId="1" xfId="32" applyBorder="1" applyAlignment="1">
      <alignment horizontal="left"/>
    </xf>
    <xf numFmtId="0" fontId="5" fillId="4" borderId="2" xfId="32" applyFont="1" applyFill="1" applyBorder="1" applyAlignment="1">
      <alignment horizontal="center"/>
    </xf>
    <xf numFmtId="0" fontId="5" fillId="4" borderId="3" xfId="32" applyFont="1" applyFill="1" applyBorder="1" applyAlignment="1">
      <alignment horizontal="center"/>
    </xf>
    <xf numFmtId="0" fontId="5" fillId="4" borderId="4" xfId="32" applyFont="1" applyFill="1" applyBorder="1" applyAlignment="1">
      <alignment horizontal="center"/>
    </xf>
    <xf numFmtId="0" fontId="3" fillId="4" borderId="23" xfId="32" applyFont="1" applyFill="1" applyBorder="1" applyAlignment="1">
      <alignment horizontal="center" vertical="center"/>
    </xf>
    <xf numFmtId="0" fontId="3" fillId="4" borderId="24" xfId="32" applyFont="1" applyFill="1" applyBorder="1" applyAlignment="1">
      <alignment horizontal="center" vertical="center"/>
    </xf>
    <xf numFmtId="0" fontId="6" fillId="0" borderId="27" xfId="32" applyBorder="1" applyAlignment="1">
      <alignment horizontal="left"/>
    </xf>
    <xf numFmtId="0" fontId="6" fillId="0" borderId="28" xfId="32" applyBorder="1" applyAlignment="1">
      <alignment horizontal="left"/>
    </xf>
    <xf numFmtId="0" fontId="6" fillId="14" borderId="30" xfId="32" applyFill="1" applyBorder="1" applyAlignment="1">
      <alignment horizontal="left"/>
    </xf>
    <xf numFmtId="0" fontId="6" fillId="14" borderId="1" xfId="32" applyFill="1" applyBorder="1" applyAlignment="1">
      <alignment horizontal="left"/>
    </xf>
    <xf numFmtId="0" fontId="6" fillId="15" borderId="30" xfId="32" applyFill="1" applyBorder="1" applyAlignment="1">
      <alignment horizontal="left"/>
    </xf>
    <xf numFmtId="0" fontId="6" fillId="15" borderId="1" xfId="32" applyFill="1" applyBorder="1" applyAlignment="1">
      <alignment horizontal="left"/>
    </xf>
    <xf numFmtId="10" fontId="0" fillId="4" borderId="35" xfId="33" applyNumberFormat="1" applyFont="1" applyFill="1" applyBorder="1" applyAlignment="1">
      <alignment horizontal="center" vertical="center"/>
    </xf>
    <xf numFmtId="10" fontId="0" fillId="4" borderId="11" xfId="33" applyNumberFormat="1" applyFont="1" applyFill="1" applyBorder="1" applyAlignment="1">
      <alignment horizontal="center" vertical="center"/>
    </xf>
    <xf numFmtId="175" fontId="0" fillId="4" borderId="18" xfId="33" applyNumberFormat="1" applyFont="1" applyFill="1" applyBorder="1" applyAlignment="1">
      <alignment horizontal="center" vertical="center"/>
    </xf>
    <xf numFmtId="172" fontId="0" fillId="4" borderId="35" xfId="33" applyNumberFormat="1" applyFont="1" applyFill="1" applyBorder="1" applyAlignment="1">
      <alignment horizontal="center" vertical="center"/>
    </xf>
    <xf numFmtId="172" fontId="0" fillId="4" borderId="11" xfId="33" applyNumberFormat="1" applyFont="1" applyFill="1" applyBorder="1" applyAlignment="1">
      <alignment horizontal="center" vertical="center"/>
    </xf>
    <xf numFmtId="0" fontId="6" fillId="13" borderId="30" xfId="32" applyFill="1" applyBorder="1" applyAlignment="1">
      <alignment horizontal="left"/>
    </xf>
    <xf numFmtId="0" fontId="6" fillId="13" borderId="1" xfId="32" applyFill="1" applyBorder="1" applyAlignment="1">
      <alignment horizontal="left"/>
    </xf>
    <xf numFmtId="0" fontId="6" fillId="4" borderId="30" xfId="32" applyFill="1" applyBorder="1" applyAlignment="1">
      <alignment horizontal="center"/>
    </xf>
    <xf numFmtId="0" fontId="6" fillId="4" borderId="1" xfId="32" applyFill="1" applyBorder="1" applyAlignment="1">
      <alignment horizontal="center"/>
    </xf>
    <xf numFmtId="0" fontId="6" fillId="4" borderId="32" xfId="32" applyFill="1" applyBorder="1" applyAlignment="1">
      <alignment horizontal="center"/>
    </xf>
    <xf numFmtId="0" fontId="6" fillId="4" borderId="33" xfId="32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1" fillId="25" borderId="0" xfId="0" applyFont="1" applyFill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3" fillId="0" borderId="1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1" xfId="0" applyFont="1" applyBorder="1"/>
    <xf numFmtId="0" fontId="3" fillId="0" borderId="31" xfId="0" applyFont="1" applyBorder="1"/>
    <xf numFmtId="0" fontId="3" fillId="0" borderId="30" xfId="0" applyFont="1" applyBorder="1"/>
    <xf numFmtId="0" fontId="3" fillId="0" borderId="32" xfId="0" applyFont="1" applyBorder="1"/>
  </cellXfs>
  <cellStyles count="34">
    <cellStyle name="Millares [0] 2" xfId="8" xr:uid="{96B164F0-7A7D-442A-AB45-DE35013C5741}"/>
    <cellStyle name="Millares 10" xfId="25" xr:uid="{034CE1E9-508D-479C-852D-85FC991CEA8B}"/>
    <cellStyle name="Millares 11" xfId="27" xr:uid="{524F874C-E53F-43AB-AC29-18262BF27D42}"/>
    <cellStyle name="Millares 12" xfId="29" xr:uid="{58830745-2054-4C6F-9D34-BD2DC4A35365}"/>
    <cellStyle name="Millares 13" xfId="30" xr:uid="{32568FE2-87B5-4AE9-BF5A-DA90FC7144F5}"/>
    <cellStyle name="Millares 14" xfId="31" xr:uid="{42B88FB6-CA33-4544-B6DB-80353F40237F}"/>
    <cellStyle name="Millares 2" xfId="7" xr:uid="{4BAA8122-2825-4943-875A-5D19ED939538}"/>
    <cellStyle name="Millares 3" xfId="11" xr:uid="{57597C2D-40E3-44EE-A59E-A99365DE5823}"/>
    <cellStyle name="Millares 4" xfId="13" xr:uid="{ED844ED6-557D-42C3-BE33-1C1A20B46BFD}"/>
    <cellStyle name="Millares 5" xfId="15" xr:uid="{3B4579AF-3E71-4C44-BF21-303C6DB9B0CD}"/>
    <cellStyle name="Millares 6" xfId="17" xr:uid="{84F7E7E1-C22C-4B24-B625-66CD499CA47B}"/>
    <cellStyle name="Millares 7" xfId="19" xr:uid="{3E6F8812-E5B3-41CB-BE63-9ABCC73324C9}"/>
    <cellStyle name="Millares 8" xfId="20" xr:uid="{7773158A-2FCB-48DC-82F3-136698D7CEEF}"/>
    <cellStyle name="Millares 9" xfId="21" xr:uid="{BF0B8830-E4E5-4448-8F1F-971CD73E6130}"/>
    <cellStyle name="Moneda" xfId="1" builtinId="4"/>
    <cellStyle name="Moneda [0]" xfId="2" builtinId="7"/>
    <cellStyle name="Moneda [0] 2" xfId="6" xr:uid="{82B826DF-B1BC-443C-990F-59FD689566D9}"/>
    <cellStyle name="Moneda 10" xfId="23" xr:uid="{F61FF8E6-1394-410B-8DAA-FFDF34A49401}"/>
    <cellStyle name="Moneda 11" xfId="22" xr:uid="{C0A1B1E1-5816-4581-9B66-BF536E835503}"/>
    <cellStyle name="Moneda 12" xfId="24" xr:uid="{24313AFE-B6B3-4194-A23D-1B9EFA55784F}"/>
    <cellStyle name="Moneda 13" xfId="26" xr:uid="{9B3531C2-2056-4891-99DE-6926D65CFD9E}"/>
    <cellStyle name="Moneda 14" xfId="28" xr:uid="{F662C53C-A658-4662-915F-8EBD5F19CB3D}"/>
    <cellStyle name="Moneda 2" xfId="5" xr:uid="{30BB543A-99A7-4498-98CE-A821B31EA67D}"/>
    <cellStyle name="Moneda 3" xfId="9" xr:uid="{75914A7B-58C7-4AB5-B250-D7CA4E186A46}"/>
    <cellStyle name="Moneda 4" xfId="4" xr:uid="{C782C165-0F57-439F-8D59-A71E791FB2ED}"/>
    <cellStyle name="Moneda 5" xfId="10" xr:uid="{AE5797EB-91D8-43A4-A7CA-3B8EDA8DCCBF}"/>
    <cellStyle name="Moneda 6" xfId="12" xr:uid="{9D489B64-5DAA-49F1-A52B-76BCC49E6DD8}"/>
    <cellStyle name="Moneda 7" xfId="14" xr:uid="{147BC3C6-09FA-416C-89D9-CB2AFF2977F9}"/>
    <cellStyle name="Moneda 8" xfId="16" xr:uid="{37D0AEE1-CE1C-4B0E-B959-0D4B86777113}"/>
    <cellStyle name="Moneda 9" xfId="18" xr:uid="{C28D1CE9-8576-40E9-AC34-C31EF4176F19}"/>
    <cellStyle name="Normal" xfId="0" builtinId="0"/>
    <cellStyle name="Normal 2" xfId="32" xr:uid="{24FBA9D1-B7C5-4A9E-892D-A7B1617EE64B}"/>
    <cellStyle name="Porcentaje" xfId="3" builtinId="5"/>
    <cellStyle name="Porcentaje 2" xfId="33" xr:uid="{C678B19B-ADD5-45CD-8958-66C5A8BD6AA4}"/>
  </cellStyles>
  <dxfs count="0"/>
  <tableStyles count="0" defaultTableStyle="TableStyleMedium2" defaultPivotStyle="PivotStyleLight16"/>
  <colors>
    <mruColors>
      <color rgb="FFBD32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PRONOSTICO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P.PRODUCCION!$AF$4</c:f>
              <c:strCache>
                <c:ptCount val="1"/>
                <c:pt idx="0">
                  <c:v>CHAQUETA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224103237095362"/>
                  <c:y val="0.2403240740740740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P.PRODUCCION!$AE$6:$AE$13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P.PRODUCCION!$AF$6:$AF$12</c:f>
              <c:numCache>
                <c:formatCode>General</c:formatCode>
                <c:ptCount val="7"/>
                <c:pt idx="0">
                  <c:v>3250</c:v>
                </c:pt>
                <c:pt idx="1">
                  <c:v>3459</c:v>
                </c:pt>
                <c:pt idx="2">
                  <c:v>3560</c:v>
                </c:pt>
                <c:pt idx="3">
                  <c:v>3700</c:v>
                </c:pt>
                <c:pt idx="4">
                  <c:v>3720</c:v>
                </c:pt>
                <c:pt idx="5">
                  <c:v>3800</c:v>
                </c:pt>
                <c:pt idx="6">
                  <c:v>3880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4E-4952-BEDE-2FBA899FC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328672"/>
        <c:axId val="2088329856"/>
      </c:scatterChart>
      <c:valAx>
        <c:axId val="2091328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Periodo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88329856"/>
        <c:crosses val="autoZero"/>
        <c:crossBetween val="midCat"/>
      </c:valAx>
      <c:valAx>
        <c:axId val="208832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ventas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91328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P.PRODUCCION!$Q$6:$Q$12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P.PRODUCCION!$R$6:$R$12</c:f>
              <c:numCache>
                <c:formatCode>General</c:formatCode>
                <c:ptCount val="7"/>
                <c:pt idx="0">
                  <c:v>3200</c:v>
                </c:pt>
                <c:pt idx="1">
                  <c:v>3300</c:v>
                </c:pt>
                <c:pt idx="2">
                  <c:v>3450</c:v>
                </c:pt>
                <c:pt idx="3">
                  <c:v>3470</c:v>
                </c:pt>
                <c:pt idx="4">
                  <c:v>3500</c:v>
                </c:pt>
                <c:pt idx="5">
                  <c:v>3540</c:v>
                </c:pt>
                <c:pt idx="6">
                  <c:v>3560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B0-4B57-87E5-6E6954944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0634559"/>
        <c:axId val="1927856975"/>
      </c:scatterChart>
      <c:valAx>
        <c:axId val="1760634559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27856975"/>
        <c:crosses val="autoZero"/>
        <c:crossBetween val="midCat"/>
      </c:valAx>
      <c:valAx>
        <c:axId val="1927856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0634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P.PRODUCCION!$C$6:$C$12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P.PRODUCCION!$D$6:$D$12</c:f>
              <c:numCache>
                <c:formatCode>General</c:formatCode>
                <c:ptCount val="7"/>
                <c:pt idx="0">
                  <c:v>5010</c:v>
                </c:pt>
                <c:pt idx="1">
                  <c:v>5100</c:v>
                </c:pt>
                <c:pt idx="2">
                  <c:v>5230</c:v>
                </c:pt>
                <c:pt idx="3">
                  <c:v>5300</c:v>
                </c:pt>
                <c:pt idx="4">
                  <c:v>5400</c:v>
                </c:pt>
                <c:pt idx="5">
                  <c:v>5430</c:v>
                </c:pt>
                <c:pt idx="6">
                  <c:v>5650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91-4188-80F5-EA1A778FF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1389471"/>
        <c:axId val="1930650175"/>
      </c:scatterChart>
      <c:valAx>
        <c:axId val="1901389471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0650175"/>
        <c:crosses val="autoZero"/>
        <c:crossBetween val="midCat"/>
      </c:valAx>
      <c:valAx>
        <c:axId val="1930650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01389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47626</xdr:colOff>
      <xdr:row>0</xdr:row>
      <xdr:rowOff>147637</xdr:rowOff>
    </xdr:from>
    <xdr:to>
      <xdr:col>42</xdr:col>
      <xdr:colOff>47626</xdr:colOff>
      <xdr:row>16</xdr:row>
      <xdr:rowOff>33337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6651584-882A-4C7F-88AD-2D4F68AF13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34017</xdr:colOff>
      <xdr:row>3</xdr:row>
      <xdr:rowOff>43543</xdr:rowOff>
    </xdr:from>
    <xdr:to>
      <xdr:col>28</xdr:col>
      <xdr:colOff>34017</xdr:colOff>
      <xdr:row>17</xdr:row>
      <xdr:rowOff>92529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8CCD675-64A9-498D-8217-B8FC07945F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102053</xdr:colOff>
      <xdr:row>3</xdr:row>
      <xdr:rowOff>0</xdr:rowOff>
    </xdr:from>
    <xdr:to>
      <xdr:col>12</xdr:col>
      <xdr:colOff>129268</xdr:colOff>
      <xdr:row>16</xdr:row>
      <xdr:rowOff>187779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966F6733-3E8F-4A31-AFAE-7F9FB4DB9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0</xdr:rowOff>
    </xdr:from>
    <xdr:to>
      <xdr:col>16</xdr:col>
      <xdr:colOff>114300</xdr:colOff>
      <xdr:row>7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12FF36-CE23-4B66-AAAC-833706812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1600" y="1543050"/>
          <a:ext cx="5562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13</xdr:row>
      <xdr:rowOff>0</xdr:rowOff>
    </xdr:from>
    <xdr:to>
      <xdr:col>13</xdr:col>
      <xdr:colOff>25400</xdr:colOff>
      <xdr:row>13</xdr:row>
      <xdr:rowOff>177800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D0FF3A-9361-494C-AD14-F9C8EE625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1600" y="2787650"/>
          <a:ext cx="12795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13</xdr:col>
      <xdr:colOff>787400</xdr:colOff>
      <xdr:row>15</xdr:row>
      <xdr:rowOff>177800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D3A8E6-B351-48F0-A2A4-DD27067B0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1600" y="3194050"/>
          <a:ext cx="20415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495300</xdr:colOff>
      <xdr:row>17</xdr:row>
      <xdr:rowOff>177800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B8B938-0C2C-44C1-BF1E-22DE082A4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1600" y="3613150"/>
          <a:ext cx="4953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19</xdr:row>
      <xdr:rowOff>0</xdr:rowOff>
    </xdr:from>
    <xdr:to>
      <xdr:col>13</xdr:col>
      <xdr:colOff>1358900</xdr:colOff>
      <xdr:row>19</xdr:row>
      <xdr:rowOff>177800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29D4D71-622C-4456-8BCE-B50EFB639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1600" y="4025900"/>
          <a:ext cx="26130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22</xdr:row>
      <xdr:rowOff>0</xdr:rowOff>
    </xdr:from>
    <xdr:to>
      <xdr:col>13</xdr:col>
      <xdr:colOff>76200</xdr:colOff>
      <xdr:row>22</xdr:row>
      <xdr:rowOff>177800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65715C2-790A-4E90-9C28-2C3282A16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1600" y="4648200"/>
          <a:ext cx="13271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26</xdr:row>
      <xdr:rowOff>0</xdr:rowOff>
    </xdr:from>
    <xdr:to>
      <xdr:col>13</xdr:col>
      <xdr:colOff>25400</xdr:colOff>
      <xdr:row>26</xdr:row>
      <xdr:rowOff>177800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85A81DE-D1BE-4D3E-B1E0-DF01C00ED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1600" y="5473700"/>
          <a:ext cx="12795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673100</xdr:colOff>
      <xdr:row>28</xdr:row>
      <xdr:rowOff>177800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B17CAA6-F7E0-47D6-8FCC-253027D75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1600" y="5886450"/>
          <a:ext cx="19272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30</xdr:row>
      <xdr:rowOff>0</xdr:rowOff>
    </xdr:from>
    <xdr:to>
      <xdr:col>12</xdr:col>
      <xdr:colOff>495300</xdr:colOff>
      <xdr:row>30</xdr:row>
      <xdr:rowOff>177800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70402B0-2CF9-4E62-BC9D-2247EDF04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1600" y="6292850"/>
          <a:ext cx="4953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32</xdr:row>
      <xdr:rowOff>0</xdr:rowOff>
    </xdr:from>
    <xdr:to>
      <xdr:col>15</xdr:col>
      <xdr:colOff>381000</xdr:colOff>
      <xdr:row>32</xdr:row>
      <xdr:rowOff>177800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C143255-B001-477C-AAFB-9FAEB4F90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1600" y="6711950"/>
          <a:ext cx="45402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7</xdr:row>
      <xdr:rowOff>0</xdr:rowOff>
    </xdr:from>
    <xdr:to>
      <xdr:col>16</xdr:col>
      <xdr:colOff>114300</xdr:colOff>
      <xdr:row>7</xdr:row>
      <xdr:rowOff>177800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5310D94-756B-461B-A9FA-EE1096369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3900" y="1543050"/>
          <a:ext cx="55626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13</xdr:row>
      <xdr:rowOff>0</xdr:rowOff>
    </xdr:from>
    <xdr:to>
      <xdr:col>13</xdr:col>
      <xdr:colOff>25400</xdr:colOff>
      <xdr:row>13</xdr:row>
      <xdr:rowOff>177800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06CF9AC-5D9A-4E8D-AE04-CDD5527B8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3900" y="2762250"/>
          <a:ext cx="12795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15</xdr:row>
      <xdr:rowOff>0</xdr:rowOff>
    </xdr:from>
    <xdr:to>
      <xdr:col>13</xdr:col>
      <xdr:colOff>787400</xdr:colOff>
      <xdr:row>15</xdr:row>
      <xdr:rowOff>177800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7543F62-906F-45A5-AED1-06E2EF24A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3900" y="3168650"/>
          <a:ext cx="20415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495300</xdr:colOff>
      <xdr:row>17</xdr:row>
      <xdr:rowOff>177800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2524BFA-EE8B-463D-BB95-D73178064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3900" y="3587750"/>
          <a:ext cx="4953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19</xdr:row>
      <xdr:rowOff>0</xdr:rowOff>
    </xdr:from>
    <xdr:to>
      <xdr:col>13</xdr:col>
      <xdr:colOff>1358900</xdr:colOff>
      <xdr:row>19</xdr:row>
      <xdr:rowOff>177800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998E8E10-5BE7-4CCB-8212-42F2503D8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3900" y="4000500"/>
          <a:ext cx="26130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22</xdr:row>
      <xdr:rowOff>0</xdr:rowOff>
    </xdr:from>
    <xdr:to>
      <xdr:col>13</xdr:col>
      <xdr:colOff>76200</xdr:colOff>
      <xdr:row>22</xdr:row>
      <xdr:rowOff>177800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AA6E3769-2AD3-43DD-8B61-D44BE423B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3900" y="4622800"/>
          <a:ext cx="13271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26</xdr:row>
      <xdr:rowOff>0</xdr:rowOff>
    </xdr:from>
    <xdr:to>
      <xdr:col>13</xdr:col>
      <xdr:colOff>25400</xdr:colOff>
      <xdr:row>26</xdr:row>
      <xdr:rowOff>177800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3BA802E8-9834-4B30-A52F-DD303260C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3900" y="5448300"/>
          <a:ext cx="12795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28</xdr:row>
      <xdr:rowOff>0</xdr:rowOff>
    </xdr:from>
    <xdr:to>
      <xdr:col>13</xdr:col>
      <xdr:colOff>673100</xdr:colOff>
      <xdr:row>28</xdr:row>
      <xdr:rowOff>177800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AAD3CD70-16D2-4CFB-BEA6-510371A53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3900" y="5861050"/>
          <a:ext cx="19272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30</xdr:row>
      <xdr:rowOff>0</xdr:rowOff>
    </xdr:from>
    <xdr:to>
      <xdr:col>12</xdr:col>
      <xdr:colOff>495300</xdr:colOff>
      <xdr:row>30</xdr:row>
      <xdr:rowOff>177800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7D6DE528-9D68-4B98-B87A-3A0092E93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3900" y="6267450"/>
          <a:ext cx="4953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32</xdr:row>
      <xdr:rowOff>0</xdr:rowOff>
    </xdr:from>
    <xdr:to>
      <xdr:col>15</xdr:col>
      <xdr:colOff>381000</xdr:colOff>
      <xdr:row>32</xdr:row>
      <xdr:rowOff>177800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4E218E59-47B4-47B5-BCFB-83F075191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3900" y="6686550"/>
          <a:ext cx="45402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FDD9D-4701-4AEB-89EC-B49D0E38155D}">
  <dimension ref="B2:J11"/>
  <sheetViews>
    <sheetView workbookViewId="0">
      <selection activeCell="F16" sqref="F16"/>
    </sheetView>
  </sheetViews>
  <sheetFormatPr baseColWidth="10" defaultRowHeight="15" x14ac:dyDescent="0.25"/>
  <cols>
    <col min="1" max="16384" width="11.42578125" style="150"/>
  </cols>
  <sheetData>
    <row r="2" spans="2:10" x14ac:dyDescent="0.25">
      <c r="B2" s="522" t="s">
        <v>0</v>
      </c>
      <c r="C2" s="522"/>
      <c r="D2" s="522"/>
      <c r="E2" s="522"/>
      <c r="F2" s="522"/>
      <c r="G2" s="522"/>
      <c r="H2" s="522"/>
      <c r="I2" s="522"/>
      <c r="J2" s="522"/>
    </row>
    <row r="3" spans="2:10" x14ac:dyDescent="0.25">
      <c r="B3" s="519" t="s">
        <v>14</v>
      </c>
      <c r="C3" s="520"/>
      <c r="D3" s="520"/>
      <c r="E3" s="521"/>
      <c r="G3" s="519" t="s">
        <v>53</v>
      </c>
      <c r="H3" s="520"/>
      <c r="I3" s="520"/>
      <c r="J3" s="521"/>
    </row>
    <row r="4" spans="2:10" x14ac:dyDescent="0.25">
      <c r="B4" s="123" t="s">
        <v>13</v>
      </c>
      <c r="C4" s="123" t="s">
        <v>15</v>
      </c>
      <c r="D4" s="123" t="s">
        <v>281</v>
      </c>
      <c r="E4" s="123" t="s">
        <v>286</v>
      </c>
      <c r="G4" s="123" t="s">
        <v>13</v>
      </c>
      <c r="H4" s="123" t="s">
        <v>15</v>
      </c>
      <c r="I4" s="123" t="s">
        <v>281</v>
      </c>
      <c r="J4" s="123" t="s">
        <v>286</v>
      </c>
    </row>
    <row r="5" spans="2:10" x14ac:dyDescent="0.25">
      <c r="B5" s="151">
        <v>1</v>
      </c>
      <c r="C5" s="151">
        <v>5010</v>
      </c>
      <c r="D5" s="151">
        <v>3200</v>
      </c>
      <c r="E5" s="151">
        <v>3250</v>
      </c>
      <c r="G5" s="151">
        <v>1</v>
      </c>
      <c r="H5" s="151">
        <v>5311</v>
      </c>
      <c r="I5" s="151">
        <v>3392</v>
      </c>
      <c r="J5" s="151">
        <v>3445</v>
      </c>
    </row>
    <row r="6" spans="2:10" x14ac:dyDescent="0.25">
      <c r="B6" s="151">
        <v>2</v>
      </c>
      <c r="C6" s="151">
        <v>5100</v>
      </c>
      <c r="D6" s="151">
        <v>3300</v>
      </c>
      <c r="E6" s="151">
        <v>3459</v>
      </c>
      <c r="G6" s="151">
        <v>2</v>
      </c>
      <c r="H6" s="151">
        <v>5406</v>
      </c>
      <c r="I6" s="151">
        <v>3498</v>
      </c>
      <c r="J6" s="151">
        <v>3667</v>
      </c>
    </row>
    <row r="7" spans="2:10" x14ac:dyDescent="0.25">
      <c r="B7" s="151">
        <v>3</v>
      </c>
      <c r="C7" s="151">
        <v>5230</v>
      </c>
      <c r="D7" s="151">
        <v>3450</v>
      </c>
      <c r="E7" s="151">
        <v>3560</v>
      </c>
      <c r="G7" s="151">
        <v>3</v>
      </c>
      <c r="H7" s="151">
        <v>5544</v>
      </c>
      <c r="I7" s="151">
        <v>3657</v>
      </c>
      <c r="J7" s="151">
        <v>3774</v>
      </c>
    </row>
    <row r="8" spans="2:10" x14ac:dyDescent="0.25">
      <c r="B8" s="151">
        <v>4</v>
      </c>
      <c r="C8" s="151">
        <v>5300</v>
      </c>
      <c r="D8" s="151">
        <v>3470</v>
      </c>
      <c r="E8" s="151">
        <v>3700</v>
      </c>
      <c r="G8" s="151">
        <v>4</v>
      </c>
      <c r="H8" s="151">
        <v>5618</v>
      </c>
      <c r="I8" s="151">
        <v>3679</v>
      </c>
      <c r="J8" s="151">
        <v>3922</v>
      </c>
    </row>
    <row r="9" spans="2:10" x14ac:dyDescent="0.25">
      <c r="B9" s="151">
        <v>5</v>
      </c>
      <c r="C9" s="151">
        <v>5400</v>
      </c>
      <c r="D9" s="151">
        <v>3500</v>
      </c>
      <c r="E9" s="151">
        <v>3720</v>
      </c>
      <c r="G9" s="151">
        <v>5</v>
      </c>
      <c r="H9" s="151">
        <v>5724</v>
      </c>
      <c r="I9" s="151">
        <v>3710</v>
      </c>
      <c r="J9" s="151">
        <v>3944</v>
      </c>
    </row>
    <row r="10" spans="2:10" x14ac:dyDescent="0.25">
      <c r="B10" s="151">
        <v>6</v>
      </c>
      <c r="C10" s="151">
        <v>5430</v>
      </c>
      <c r="D10" s="151">
        <v>3540</v>
      </c>
      <c r="E10" s="151">
        <v>3800</v>
      </c>
      <c r="G10" s="151">
        <v>6</v>
      </c>
      <c r="H10" s="151">
        <v>5756</v>
      </c>
      <c r="I10" s="151">
        <v>3753</v>
      </c>
      <c r="J10" s="151">
        <v>4028</v>
      </c>
    </row>
    <row r="11" spans="2:10" x14ac:dyDescent="0.25">
      <c r="B11" s="151">
        <v>7</v>
      </c>
      <c r="C11" s="151">
        <v>5650</v>
      </c>
      <c r="D11" s="151">
        <v>3560</v>
      </c>
      <c r="E11" s="151">
        <v>3880</v>
      </c>
      <c r="G11" s="151">
        <v>7</v>
      </c>
      <c r="H11" s="151">
        <v>5989</v>
      </c>
      <c r="I11" s="151">
        <v>3774</v>
      </c>
      <c r="J11" s="151">
        <v>4113</v>
      </c>
    </row>
  </sheetData>
  <mergeCells count="3">
    <mergeCell ref="B3:E3"/>
    <mergeCell ref="G3:J3"/>
    <mergeCell ref="B2:J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6274F-7719-451F-BA52-9BF88C20AF32}">
  <dimension ref="A1:H29"/>
  <sheetViews>
    <sheetView zoomScale="90" zoomScaleNormal="90" workbookViewId="0">
      <selection activeCell="G21" sqref="G21"/>
    </sheetView>
  </sheetViews>
  <sheetFormatPr baseColWidth="10" defaultRowHeight="15" x14ac:dyDescent="0.25"/>
  <cols>
    <col min="5" max="5" width="16.140625" customWidth="1"/>
    <col min="6" max="6" width="14.28515625" customWidth="1"/>
    <col min="7" max="7" width="15.42578125" customWidth="1"/>
    <col min="8" max="8" width="16.5703125" customWidth="1"/>
  </cols>
  <sheetData>
    <row r="1" spans="1:8" x14ac:dyDescent="0.25">
      <c r="A1" s="70"/>
      <c r="B1" s="70"/>
      <c r="C1" s="70"/>
      <c r="D1" s="70"/>
      <c r="E1" s="70"/>
      <c r="F1" s="70"/>
      <c r="G1" s="70"/>
      <c r="H1" s="70"/>
    </row>
    <row r="2" spans="1:8" x14ac:dyDescent="0.25">
      <c r="A2" s="70"/>
      <c r="B2" s="70"/>
      <c r="C2" s="70"/>
      <c r="D2" s="70"/>
      <c r="E2" s="70"/>
      <c r="F2" s="70"/>
      <c r="G2" s="70"/>
      <c r="H2" s="70"/>
    </row>
    <row r="3" spans="1:8" x14ac:dyDescent="0.25">
      <c r="A3" s="70"/>
      <c r="B3" s="70"/>
      <c r="C3" s="70"/>
      <c r="D3" s="70"/>
      <c r="E3" s="70"/>
      <c r="F3" s="70"/>
      <c r="G3" s="70"/>
      <c r="H3" s="70"/>
    </row>
    <row r="4" spans="1:8" x14ac:dyDescent="0.25">
      <c r="A4" s="70"/>
      <c r="B4" s="70"/>
      <c r="C4" s="609" t="s">
        <v>15</v>
      </c>
      <c r="D4" s="609"/>
      <c r="E4" s="356" t="s">
        <v>18</v>
      </c>
      <c r="F4" s="357" t="s">
        <v>19</v>
      </c>
      <c r="G4" s="357" t="s">
        <v>20</v>
      </c>
      <c r="H4" s="357" t="s">
        <v>21</v>
      </c>
    </row>
    <row r="5" spans="1:8" x14ac:dyDescent="0.25">
      <c r="A5" s="70"/>
      <c r="B5" s="70"/>
      <c r="C5" s="609" t="s">
        <v>228</v>
      </c>
      <c r="D5" s="609"/>
      <c r="E5" s="358">
        <f>+P.PRODUCCION!C68</f>
        <v>58488053.757203683</v>
      </c>
      <c r="F5" s="358">
        <f>+P.PRODUCCION!D68</f>
        <v>98623592.45663166</v>
      </c>
      <c r="G5" s="358">
        <f>+P.PRODUCCION!E68</f>
        <v>97056570.017083108</v>
      </c>
      <c r="H5" s="358">
        <f>+P.PRODUCCION!F68</f>
        <v>96689519.715927601</v>
      </c>
    </row>
    <row r="6" spans="1:8" x14ac:dyDescent="0.25">
      <c r="A6" s="70"/>
      <c r="B6" s="70"/>
      <c r="C6" s="609" t="s">
        <v>229</v>
      </c>
      <c r="D6" s="609"/>
      <c r="E6" s="358">
        <f>+'NOMINA CAMISAS'!C50</f>
        <v>15553161</v>
      </c>
      <c r="F6" s="358">
        <f>+'NOMINA CAMISAS'!D50</f>
        <v>17582442</v>
      </c>
      <c r="G6" s="358">
        <f>+'NOMINA CAMISAS'!E50</f>
        <v>15553161</v>
      </c>
      <c r="H6" s="358">
        <f>+'NOMINA CAMISAS'!F50</f>
        <v>24003031.440000001</v>
      </c>
    </row>
    <row r="7" spans="1:8" x14ac:dyDescent="0.25">
      <c r="A7" s="70"/>
      <c r="B7" s="70"/>
      <c r="C7" s="609" t="s">
        <v>230</v>
      </c>
      <c r="D7" s="609"/>
      <c r="E7" s="358">
        <f>+P.PRODUCCION!C158</f>
        <v>21685681</v>
      </c>
      <c r="F7" s="358">
        <f>+P.PRODUCCION!D158</f>
        <v>33775446</v>
      </c>
      <c r="G7" s="358">
        <f>+P.PRODUCCION!E158</f>
        <v>29855517</v>
      </c>
      <c r="H7" s="358">
        <f>+P.PRODUCCION!F158</f>
        <v>30275237</v>
      </c>
    </row>
    <row r="8" spans="1:8" x14ac:dyDescent="0.25">
      <c r="A8" s="70"/>
      <c r="B8" s="70"/>
      <c r="C8" s="609" t="s">
        <v>199</v>
      </c>
      <c r="D8" s="609"/>
      <c r="E8" s="358">
        <f>+CIF!E119</f>
        <v>6408757.1557012862</v>
      </c>
      <c r="F8" s="358">
        <f>+CIF!F119</f>
        <v>5562690.5108400425</v>
      </c>
      <c r="G8" s="358">
        <f>+CIF!G119</f>
        <v>5341289.8934931746</v>
      </c>
      <c r="H8" s="358">
        <f>+CIF!H119</f>
        <v>5550829.7634821748</v>
      </c>
    </row>
    <row r="9" spans="1:8" x14ac:dyDescent="0.25">
      <c r="A9" s="70"/>
      <c r="B9" s="70"/>
      <c r="C9" s="609"/>
      <c r="D9" s="609"/>
      <c r="E9" s="358"/>
      <c r="F9" s="358"/>
      <c r="G9" s="358"/>
      <c r="H9" s="358"/>
    </row>
    <row r="10" spans="1:8" x14ac:dyDescent="0.25">
      <c r="A10" s="70"/>
      <c r="B10" s="70"/>
      <c r="C10" s="609"/>
      <c r="D10" s="609"/>
      <c r="E10" s="359"/>
      <c r="F10" s="359"/>
      <c r="G10" s="359"/>
      <c r="H10" s="359"/>
    </row>
    <row r="11" spans="1:8" x14ac:dyDescent="0.25">
      <c r="A11" s="70"/>
      <c r="B11" s="70"/>
      <c r="C11" s="609" t="s">
        <v>231</v>
      </c>
      <c r="D11" s="609"/>
      <c r="E11" s="358">
        <f>E5-E6-E7-E8</f>
        <v>14840454.601502396</v>
      </c>
      <c r="F11" s="358">
        <f t="shared" ref="F11:H11" si="0">F5-F6-F7-F8</f>
        <v>41703013.945791617</v>
      </c>
      <c r="G11" s="358">
        <f t="shared" si="0"/>
        <v>46306602.123589933</v>
      </c>
      <c r="H11" s="358">
        <f t="shared" si="0"/>
        <v>36860421.512445427</v>
      </c>
    </row>
    <row r="12" spans="1:8" x14ac:dyDescent="0.25">
      <c r="A12" s="70"/>
      <c r="B12" s="70"/>
      <c r="C12" s="70"/>
      <c r="D12" s="70"/>
      <c r="E12" s="70"/>
      <c r="F12" s="70"/>
      <c r="G12" s="70"/>
      <c r="H12" s="70"/>
    </row>
    <row r="13" spans="1:8" x14ac:dyDescent="0.25">
      <c r="A13" s="70"/>
      <c r="B13" s="70"/>
      <c r="C13" s="609" t="s">
        <v>281</v>
      </c>
      <c r="D13" s="609"/>
      <c r="E13" s="356" t="s">
        <v>18</v>
      </c>
      <c r="F13" s="357" t="s">
        <v>19</v>
      </c>
      <c r="G13" s="357" t="s">
        <v>20</v>
      </c>
      <c r="H13" s="357" t="s">
        <v>21</v>
      </c>
    </row>
    <row r="14" spans="1:8" x14ac:dyDescent="0.25">
      <c r="A14" s="70"/>
      <c r="B14" s="70"/>
      <c r="C14" s="609" t="s">
        <v>228</v>
      </c>
      <c r="D14" s="609"/>
      <c r="E14" s="358">
        <f>+P.PRODUCCION!Q68</f>
        <v>56159780.304674245</v>
      </c>
      <c r="F14" s="358">
        <f>+P.PRODUCCION!R68</f>
        <v>91409219.874744236</v>
      </c>
      <c r="G14" s="358">
        <f>+P.PRODUCCION!S68</f>
        <v>88914581.746367589</v>
      </c>
      <c r="H14" s="358">
        <f>+P.PRODUCCION!T68</f>
        <v>88225006.979174048</v>
      </c>
    </row>
    <row r="15" spans="1:8" x14ac:dyDescent="0.25">
      <c r="A15" s="70"/>
      <c r="B15" s="70"/>
      <c r="C15" s="609" t="s">
        <v>229</v>
      </c>
      <c r="D15" s="609"/>
      <c r="E15" s="358">
        <f>+'NOMINA PANTALONES'!C50</f>
        <v>8262417.6000000006</v>
      </c>
      <c r="F15" s="358">
        <f>+'NOMINA PANTALONES'!D50</f>
        <v>9345271.6000000015</v>
      </c>
      <c r="G15" s="358">
        <f>+'NOMINA PANTALONES'!E50</f>
        <v>8262417.6000000006</v>
      </c>
      <c r="H15" s="358">
        <f>+'NOMINA PANTALONES'!F50</f>
        <v>12750864.560000002</v>
      </c>
    </row>
    <row r="16" spans="1:8" x14ac:dyDescent="0.25">
      <c r="A16" s="70"/>
      <c r="B16" s="70"/>
      <c r="C16" s="609" t="s">
        <v>230</v>
      </c>
      <c r="D16" s="609"/>
      <c r="E16" s="358">
        <f>+P.PRODUCCION!Q158</f>
        <v>24557715</v>
      </c>
      <c r="F16" s="358">
        <f>+P.PRODUCCION!R158</f>
        <v>30052672.999999996</v>
      </c>
      <c r="G16" s="358">
        <f>+P.PRODUCCION!S158</f>
        <v>26814547</v>
      </c>
      <c r="H16" s="358">
        <f>+P.PRODUCCION!T158</f>
        <v>26864606</v>
      </c>
    </row>
    <row r="17" spans="1:8" x14ac:dyDescent="0.25">
      <c r="A17" s="70"/>
      <c r="B17" s="70"/>
      <c r="C17" s="609" t="s">
        <v>199</v>
      </c>
      <c r="D17" s="609"/>
      <c r="E17" s="358">
        <f>+CIF!Q119</f>
        <v>4171748.3206900805</v>
      </c>
      <c r="F17" s="358">
        <f>+CIF!R119</f>
        <v>3364067.367277937</v>
      </c>
      <c r="G17" s="358">
        <f>+CIF!S119</f>
        <v>3310729.9458261915</v>
      </c>
      <c r="H17" s="358">
        <f>+CIF!T119</f>
        <v>3329779.0249161003</v>
      </c>
    </row>
    <row r="18" spans="1:8" x14ac:dyDescent="0.25">
      <c r="A18" s="70"/>
      <c r="B18" s="70"/>
      <c r="C18" s="609"/>
      <c r="D18" s="609"/>
      <c r="E18" s="358"/>
      <c r="F18" s="358"/>
      <c r="G18" s="358"/>
      <c r="H18" s="358"/>
    </row>
    <row r="19" spans="1:8" x14ac:dyDescent="0.25">
      <c r="A19" s="70"/>
      <c r="B19" s="70"/>
      <c r="C19" s="609"/>
      <c r="D19" s="609"/>
      <c r="E19" s="359"/>
      <c r="F19" s="359"/>
      <c r="G19" s="359"/>
      <c r="H19" s="359"/>
    </row>
    <row r="20" spans="1:8" x14ac:dyDescent="0.25">
      <c r="A20" s="70"/>
      <c r="B20" s="70"/>
      <c r="C20" s="609" t="s">
        <v>231</v>
      </c>
      <c r="D20" s="609"/>
      <c r="E20" s="358">
        <f>E14-E15-E16-E17</f>
        <v>19167899.383984163</v>
      </c>
      <c r="F20" s="358">
        <f t="shared" ref="F20:H20" si="1">F14-F15-F16-F17</f>
        <v>48647207.907466307</v>
      </c>
      <c r="G20" s="358">
        <f t="shared" si="1"/>
        <v>50526887.200541407</v>
      </c>
      <c r="H20" s="358">
        <f t="shared" si="1"/>
        <v>45279757.394257948</v>
      </c>
    </row>
    <row r="21" spans="1:8" x14ac:dyDescent="0.25">
      <c r="A21" s="70"/>
      <c r="B21" s="70"/>
      <c r="C21" s="70"/>
      <c r="D21" s="70"/>
      <c r="E21" s="70"/>
      <c r="F21" s="70"/>
      <c r="G21" s="70"/>
      <c r="H21" s="70"/>
    </row>
    <row r="22" spans="1:8" x14ac:dyDescent="0.25">
      <c r="A22" s="70"/>
      <c r="B22" s="70"/>
      <c r="C22" s="609" t="s">
        <v>286</v>
      </c>
      <c r="D22" s="609"/>
      <c r="E22" s="356" t="s">
        <v>18</v>
      </c>
      <c r="F22" s="357" t="s">
        <v>19</v>
      </c>
      <c r="G22" s="357" t="s">
        <v>20</v>
      </c>
      <c r="H22" s="357" t="s">
        <v>21</v>
      </c>
    </row>
    <row r="23" spans="1:8" x14ac:dyDescent="0.25">
      <c r="A23" s="70"/>
      <c r="B23" s="70"/>
      <c r="C23" s="609" t="s">
        <v>228</v>
      </c>
      <c r="D23" s="609"/>
      <c r="E23" s="358">
        <f>+P.PRODUCCION!AE68</f>
        <v>83969507.041475892</v>
      </c>
      <c r="F23" s="358">
        <f>+P.PRODUCCION!AF68</f>
        <v>135225384.60187244</v>
      </c>
      <c r="G23" s="358">
        <f>+P.PRODUCCION!AG68</f>
        <v>128899844.62752265</v>
      </c>
      <c r="H23" s="358">
        <f>+P.PRODUCCION!AH68</f>
        <v>128411176.30332394</v>
      </c>
    </row>
    <row r="24" spans="1:8" x14ac:dyDescent="0.25">
      <c r="A24" s="70"/>
      <c r="B24" s="70"/>
      <c r="C24" s="609" t="s">
        <v>229</v>
      </c>
      <c r="D24" s="609"/>
      <c r="E24" s="358">
        <f>+'NOMINA CHAQUETAS'!C50</f>
        <v>18397152</v>
      </c>
      <c r="F24" s="358">
        <f>+'NOMINA CHAQUETAS'!D50</f>
        <v>20802860</v>
      </c>
      <c r="G24" s="358">
        <f>+'NOMINA CHAQUETAS'!E50</f>
        <v>18397152</v>
      </c>
      <c r="H24" s="358">
        <f>+'NOMINA CHAQUETAS'!F50</f>
        <v>28391645.920000002</v>
      </c>
    </row>
    <row r="25" spans="1:8" x14ac:dyDescent="0.25">
      <c r="A25" s="70"/>
      <c r="B25" s="70"/>
      <c r="C25" s="609" t="s">
        <v>230</v>
      </c>
      <c r="D25" s="609"/>
      <c r="E25" s="358">
        <f>+P.PRODUCCION!AE158</f>
        <v>30773530.75</v>
      </c>
      <c r="F25" s="358">
        <f>+P.PRODUCCION!AF158</f>
        <v>39489365.875</v>
      </c>
      <c r="G25" s="358">
        <f>+P.PRODUCCION!AG158</f>
        <v>35464661.125</v>
      </c>
      <c r="H25" s="358">
        <f>+P.PRODUCCION!AH158</f>
        <v>35409751.625</v>
      </c>
    </row>
    <row r="26" spans="1:8" x14ac:dyDescent="0.25">
      <c r="A26" s="70"/>
      <c r="B26" s="70"/>
      <c r="C26" s="609" t="s">
        <v>199</v>
      </c>
      <c r="D26" s="609"/>
      <c r="E26" s="358">
        <f>+CIF!AA119</f>
        <v>8877374.0391188562</v>
      </c>
      <c r="F26" s="358">
        <f>+CIF!AB119</f>
        <v>7553211.4507595571</v>
      </c>
      <c r="G26" s="358">
        <f>+CIF!AC119</f>
        <v>7310317.7215338871</v>
      </c>
      <c r="H26" s="358">
        <f>+CIF!AD119</f>
        <v>7451352.7901165336</v>
      </c>
    </row>
    <row r="27" spans="1:8" x14ac:dyDescent="0.25">
      <c r="A27" s="70"/>
      <c r="B27" s="70"/>
      <c r="C27" s="609"/>
      <c r="D27" s="609"/>
      <c r="E27" s="358"/>
      <c r="F27" s="358"/>
      <c r="G27" s="358"/>
      <c r="H27" s="358"/>
    </row>
    <row r="28" spans="1:8" x14ac:dyDescent="0.25">
      <c r="A28" s="70"/>
      <c r="B28" s="70"/>
      <c r="C28" s="609"/>
      <c r="D28" s="609"/>
      <c r="E28" s="359"/>
      <c r="F28" s="359"/>
      <c r="G28" s="359"/>
      <c r="H28" s="359"/>
    </row>
    <row r="29" spans="1:8" x14ac:dyDescent="0.25">
      <c r="A29" s="70"/>
      <c r="B29" s="70"/>
      <c r="C29" s="609" t="s">
        <v>231</v>
      </c>
      <c r="D29" s="609"/>
      <c r="E29" s="358">
        <f>E23-E24-E25-E26</f>
        <v>25921450.252357036</v>
      </c>
      <c r="F29" s="358">
        <f t="shared" ref="F29:H29" si="2">F23-F24-F25-F26</f>
        <v>67379947.276112884</v>
      </c>
      <c r="G29" s="358">
        <f t="shared" si="2"/>
        <v>67727713.780988753</v>
      </c>
      <c r="H29" s="358">
        <f t="shared" si="2"/>
        <v>57158425.968207404</v>
      </c>
    </row>
  </sheetData>
  <mergeCells count="24">
    <mergeCell ref="C16:D16"/>
    <mergeCell ref="C4:D4"/>
    <mergeCell ref="C5:D5"/>
    <mergeCell ref="C6:D6"/>
    <mergeCell ref="C7:D7"/>
    <mergeCell ref="C8:D8"/>
    <mergeCell ref="C9:D9"/>
    <mergeCell ref="C10:D10"/>
    <mergeCell ref="C11:D11"/>
    <mergeCell ref="C13:D13"/>
    <mergeCell ref="C14:D14"/>
    <mergeCell ref="C15:D15"/>
    <mergeCell ref="C29:D29"/>
    <mergeCell ref="C17:D17"/>
    <mergeCell ref="C18:D18"/>
    <mergeCell ref="C19:D19"/>
    <mergeCell ref="C20:D20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58F3F-EC5E-4004-8A54-A5F7671EFA43}">
  <dimension ref="A1:W110"/>
  <sheetViews>
    <sheetView zoomScale="50" zoomScaleNormal="50" workbookViewId="0">
      <selection activeCell="D20" sqref="D20"/>
    </sheetView>
  </sheetViews>
  <sheetFormatPr baseColWidth="10" defaultRowHeight="15" x14ac:dyDescent="0.25"/>
  <cols>
    <col min="2" max="2" width="28.140625" customWidth="1"/>
    <col min="3" max="3" width="18.28515625" customWidth="1"/>
    <col min="4" max="4" width="18.7109375" customWidth="1"/>
    <col min="5" max="5" width="16.42578125" customWidth="1"/>
    <col min="6" max="6" width="19.5703125" customWidth="1"/>
    <col min="7" max="7" width="17.7109375" customWidth="1"/>
    <col min="8" max="8" width="17.5703125" customWidth="1"/>
    <col min="9" max="9" width="16.85546875" customWidth="1"/>
    <col min="10" max="10" width="17.7109375" customWidth="1"/>
    <col min="11" max="11" width="17.28515625" customWidth="1"/>
    <col min="12" max="12" width="17" customWidth="1"/>
    <col min="13" max="14" width="16.140625" customWidth="1"/>
    <col min="16" max="16" width="16.42578125" customWidth="1"/>
    <col min="19" max="19" width="19.42578125" customWidth="1"/>
    <col min="20" max="20" width="20" customWidth="1"/>
    <col min="21" max="21" width="17" customWidth="1"/>
    <col min="22" max="22" width="18" customWidth="1"/>
  </cols>
  <sheetData>
    <row r="1" spans="1:23" x14ac:dyDescent="0.25">
      <c r="A1" s="150"/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</row>
    <row r="2" spans="1:23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</row>
    <row r="3" spans="1:23" x14ac:dyDescent="0.2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</row>
    <row r="4" spans="1:23" x14ac:dyDescent="0.2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</row>
    <row r="5" spans="1:23" x14ac:dyDescent="0.2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</row>
    <row r="6" spans="1:23" x14ac:dyDescent="0.2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</row>
    <row r="7" spans="1:23" ht="15.75" thickBot="1" x14ac:dyDescent="0.3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</row>
    <row r="8" spans="1:23" ht="16.5" thickBot="1" x14ac:dyDescent="0.3">
      <c r="A8" s="614" t="s">
        <v>14</v>
      </c>
      <c r="B8" s="615"/>
      <c r="C8" s="615"/>
      <c r="D8" s="615"/>
      <c r="E8" s="615"/>
      <c r="F8" s="616"/>
      <c r="G8" s="150"/>
      <c r="H8" s="150"/>
      <c r="I8" s="150"/>
      <c r="J8" s="150"/>
      <c r="K8" s="614" t="s">
        <v>56</v>
      </c>
      <c r="L8" s="615"/>
      <c r="M8" s="615"/>
      <c r="N8" s="615"/>
      <c r="O8" s="615"/>
      <c r="P8" s="616"/>
      <c r="Q8" s="150"/>
      <c r="R8" s="150"/>
      <c r="S8" s="150"/>
      <c r="T8" s="150"/>
      <c r="U8" s="150"/>
      <c r="V8" s="150"/>
      <c r="W8" s="150"/>
    </row>
    <row r="9" spans="1:23" ht="16.5" thickBot="1" x14ac:dyDescent="0.3">
      <c r="A9" s="610" t="s">
        <v>241</v>
      </c>
      <c r="B9" s="611"/>
      <c r="C9" s="611"/>
      <c r="D9" s="611"/>
      <c r="E9" s="611"/>
      <c r="F9" s="612"/>
      <c r="G9" s="150"/>
      <c r="H9" s="150"/>
      <c r="I9" s="150"/>
      <c r="J9" s="150"/>
      <c r="K9" s="610" t="s">
        <v>241</v>
      </c>
      <c r="L9" s="611"/>
      <c r="M9" s="611"/>
      <c r="N9" s="611"/>
      <c r="O9" s="611"/>
      <c r="P9" s="612"/>
      <c r="Q9" s="150"/>
      <c r="R9" s="150"/>
      <c r="S9" s="150"/>
      <c r="T9" s="150"/>
      <c r="U9" s="150"/>
      <c r="V9" s="150"/>
      <c r="W9" s="150"/>
    </row>
    <row r="10" spans="1:23" ht="16.5" thickBot="1" x14ac:dyDescent="0.3">
      <c r="A10" s="389"/>
      <c r="B10" s="389"/>
      <c r="C10" s="389"/>
      <c r="D10" s="390"/>
      <c r="E10" s="391">
        <v>0.45</v>
      </c>
      <c r="F10" s="390"/>
      <c r="G10" s="150"/>
      <c r="H10" s="150"/>
      <c r="I10" s="141" t="s">
        <v>233</v>
      </c>
      <c r="J10" s="392">
        <v>0.5</v>
      </c>
      <c r="K10" s="389"/>
      <c r="L10" s="389"/>
      <c r="M10" s="389"/>
      <c r="N10" s="390"/>
      <c r="O10" s="393"/>
      <c r="P10" s="390"/>
      <c r="Q10" s="150"/>
      <c r="R10" s="150"/>
      <c r="S10" s="150"/>
      <c r="T10" s="150"/>
      <c r="U10" s="150"/>
      <c r="V10" s="150"/>
      <c r="W10" s="150"/>
    </row>
    <row r="11" spans="1:23" ht="78.75" x14ac:dyDescent="0.25">
      <c r="A11" s="394" t="s">
        <v>242</v>
      </c>
      <c r="B11" s="394" t="s">
        <v>207</v>
      </c>
      <c r="C11" s="394" t="s">
        <v>234</v>
      </c>
      <c r="D11" s="394" t="s">
        <v>243</v>
      </c>
      <c r="E11" s="394" t="s">
        <v>244</v>
      </c>
      <c r="F11" s="395" t="s">
        <v>245</v>
      </c>
      <c r="G11" s="150"/>
      <c r="H11" s="150"/>
      <c r="I11" s="150"/>
      <c r="J11" s="150"/>
      <c r="K11" s="394" t="s">
        <v>242</v>
      </c>
      <c r="L11" s="394" t="s">
        <v>207</v>
      </c>
      <c r="M11" s="394" t="s">
        <v>246</v>
      </c>
      <c r="N11" s="394" t="s">
        <v>247</v>
      </c>
      <c r="O11" s="394" t="s">
        <v>244</v>
      </c>
      <c r="P11" s="396" t="s">
        <v>248</v>
      </c>
      <c r="Q11" s="150"/>
      <c r="R11" s="150"/>
      <c r="S11" s="150"/>
      <c r="T11" s="150"/>
      <c r="U11" s="150"/>
      <c r="V11" s="150"/>
      <c r="W11" s="150"/>
    </row>
    <row r="12" spans="1:23" x14ac:dyDescent="0.25">
      <c r="A12" s="151" t="s">
        <v>74</v>
      </c>
      <c r="B12" s="151">
        <v>1320</v>
      </c>
      <c r="C12" s="397">
        <v>125000</v>
      </c>
      <c r="D12" s="398">
        <f>+B12*C12</f>
        <v>165000000</v>
      </c>
      <c r="E12" s="397">
        <f>+D12*$E$10</f>
        <v>74250000</v>
      </c>
      <c r="F12" s="397"/>
      <c r="G12" s="150"/>
      <c r="H12" s="150"/>
      <c r="I12" s="150"/>
      <c r="J12" s="150"/>
      <c r="K12" s="151" t="s">
        <v>74</v>
      </c>
      <c r="L12" s="151">
        <f>+ROUNDUP(B12*1.02,0)</f>
        <v>1347</v>
      </c>
      <c r="M12" s="397">
        <f>+C12*(1-$J$10)</f>
        <v>62500</v>
      </c>
      <c r="N12" s="398">
        <f>+L12*M12</f>
        <v>84187500</v>
      </c>
      <c r="O12" s="397"/>
      <c r="P12" s="397"/>
      <c r="Q12" s="150"/>
      <c r="R12" s="150"/>
      <c r="S12" s="150"/>
      <c r="T12" s="150"/>
      <c r="U12" s="150"/>
      <c r="V12" s="150"/>
      <c r="W12" s="150"/>
    </row>
    <row r="13" spans="1:23" x14ac:dyDescent="0.25">
      <c r="A13" s="151" t="s">
        <v>75</v>
      </c>
      <c r="B13" s="151">
        <v>1340</v>
      </c>
      <c r="C13" s="397">
        <v>125000</v>
      </c>
      <c r="D13" s="398">
        <f t="shared" ref="D13:D23" si="0">+B13*C13</f>
        <v>167500000</v>
      </c>
      <c r="E13" s="397">
        <f t="shared" ref="E13:E23" si="1">+D13*$E$10</f>
        <v>75375000</v>
      </c>
      <c r="F13" s="397">
        <f>+D12-E12</f>
        <v>90750000</v>
      </c>
      <c r="G13" s="150"/>
      <c r="H13" s="150"/>
      <c r="I13" s="150"/>
      <c r="J13" s="150"/>
      <c r="K13" s="151" t="s">
        <v>75</v>
      </c>
      <c r="L13" s="151">
        <f t="shared" ref="L13:L23" si="2">+ROUNDUP(B13*1.02,0)</f>
        <v>1367</v>
      </c>
      <c r="M13" s="397">
        <f t="shared" ref="M13:M23" si="3">+C13*(1-$J$10)</f>
        <v>62500</v>
      </c>
      <c r="N13" s="398">
        <f t="shared" ref="N13:N23" si="4">+L13*M13</f>
        <v>85437500</v>
      </c>
      <c r="O13" s="397"/>
      <c r="P13" s="397"/>
      <c r="Q13" s="150"/>
      <c r="R13" s="150"/>
      <c r="S13" s="150"/>
      <c r="T13" s="150"/>
      <c r="U13" s="150"/>
      <c r="V13" s="150"/>
      <c r="W13" s="150"/>
    </row>
    <row r="14" spans="1:23" x14ac:dyDescent="0.25">
      <c r="A14" s="151" t="s">
        <v>249</v>
      </c>
      <c r="B14" s="151">
        <v>1300</v>
      </c>
      <c r="C14" s="397">
        <v>125000</v>
      </c>
      <c r="D14" s="398">
        <f t="shared" si="0"/>
        <v>162500000</v>
      </c>
      <c r="E14" s="397">
        <f t="shared" si="1"/>
        <v>73125000</v>
      </c>
      <c r="F14" s="397">
        <f t="shared" ref="F14:F24" si="5">+D13-E13</f>
        <v>92125000</v>
      </c>
      <c r="G14" s="150"/>
      <c r="H14" s="150"/>
      <c r="I14" s="150"/>
      <c r="J14" s="150"/>
      <c r="K14" s="151" t="s">
        <v>249</v>
      </c>
      <c r="L14" s="151">
        <f t="shared" si="2"/>
        <v>1326</v>
      </c>
      <c r="M14" s="397">
        <f t="shared" si="3"/>
        <v>62500</v>
      </c>
      <c r="N14" s="398">
        <f t="shared" si="4"/>
        <v>82875000</v>
      </c>
      <c r="O14" s="397"/>
      <c r="P14" s="397">
        <f>+N12</f>
        <v>84187500</v>
      </c>
      <c r="Q14" s="150"/>
      <c r="R14" s="150"/>
      <c r="S14" s="150"/>
      <c r="T14" s="150"/>
      <c r="U14" s="150"/>
      <c r="V14" s="150"/>
      <c r="W14" s="150"/>
    </row>
    <row r="15" spans="1:23" x14ac:dyDescent="0.25">
      <c r="A15" s="151" t="s">
        <v>77</v>
      </c>
      <c r="B15" s="151">
        <v>1350</v>
      </c>
      <c r="C15" s="397">
        <v>125000</v>
      </c>
      <c r="D15" s="398">
        <f t="shared" si="0"/>
        <v>168750000</v>
      </c>
      <c r="E15" s="397">
        <f t="shared" si="1"/>
        <v>75937500</v>
      </c>
      <c r="F15" s="397">
        <f t="shared" si="5"/>
        <v>89375000</v>
      </c>
      <c r="G15" s="150"/>
      <c r="H15" s="150"/>
      <c r="I15" s="150"/>
      <c r="J15" s="150"/>
      <c r="K15" s="151" t="s">
        <v>77</v>
      </c>
      <c r="L15" s="151">
        <f t="shared" si="2"/>
        <v>1377</v>
      </c>
      <c r="M15" s="397">
        <f t="shared" si="3"/>
        <v>62500</v>
      </c>
      <c r="N15" s="398">
        <f t="shared" si="4"/>
        <v>86062500</v>
      </c>
      <c r="O15" s="397"/>
      <c r="P15" s="397">
        <f t="shared" ref="P15:P25" si="6">+N13</f>
        <v>85437500</v>
      </c>
      <c r="Q15" s="150"/>
      <c r="R15" s="150"/>
      <c r="S15" s="150"/>
      <c r="T15" s="150"/>
      <c r="U15" s="150"/>
      <c r="V15" s="150"/>
      <c r="W15" s="150"/>
    </row>
    <row r="16" spans="1:23" x14ac:dyDescent="0.25">
      <c r="A16" s="151" t="s">
        <v>250</v>
      </c>
      <c r="B16" s="151">
        <v>1380</v>
      </c>
      <c r="C16" s="397">
        <v>125000</v>
      </c>
      <c r="D16" s="398">
        <f t="shared" si="0"/>
        <v>172500000</v>
      </c>
      <c r="E16" s="397">
        <f t="shared" si="1"/>
        <v>77625000</v>
      </c>
      <c r="F16" s="397">
        <f t="shared" si="5"/>
        <v>92812500</v>
      </c>
      <c r="G16" s="150"/>
      <c r="H16" s="150"/>
      <c r="I16" s="150"/>
      <c r="J16" s="150"/>
      <c r="K16" s="151" t="s">
        <v>250</v>
      </c>
      <c r="L16" s="151">
        <f t="shared" si="2"/>
        <v>1408</v>
      </c>
      <c r="M16" s="397">
        <f t="shared" si="3"/>
        <v>62500</v>
      </c>
      <c r="N16" s="398">
        <f t="shared" si="4"/>
        <v>88000000</v>
      </c>
      <c r="O16" s="397"/>
      <c r="P16" s="397">
        <f t="shared" si="6"/>
        <v>82875000</v>
      </c>
      <c r="Q16" s="150"/>
      <c r="R16" s="150"/>
      <c r="S16" s="150"/>
      <c r="T16" s="150"/>
      <c r="U16" s="150"/>
      <c r="V16" s="150"/>
      <c r="W16" s="150"/>
    </row>
    <row r="17" spans="1:23" x14ac:dyDescent="0.25">
      <c r="A17" s="151" t="s">
        <v>79</v>
      </c>
      <c r="B17" s="151">
        <v>1350</v>
      </c>
      <c r="C17" s="397">
        <v>125000</v>
      </c>
      <c r="D17" s="398">
        <f t="shared" si="0"/>
        <v>168750000</v>
      </c>
      <c r="E17" s="397">
        <f t="shared" si="1"/>
        <v>75937500</v>
      </c>
      <c r="F17" s="397">
        <f t="shared" si="5"/>
        <v>94875000</v>
      </c>
      <c r="G17" s="150"/>
      <c r="H17" s="150"/>
      <c r="I17" s="150"/>
      <c r="J17" s="150"/>
      <c r="K17" s="151" t="s">
        <v>79</v>
      </c>
      <c r="L17" s="151">
        <f t="shared" si="2"/>
        <v>1377</v>
      </c>
      <c r="M17" s="397">
        <f t="shared" si="3"/>
        <v>62500</v>
      </c>
      <c r="N17" s="398">
        <f t="shared" si="4"/>
        <v>86062500</v>
      </c>
      <c r="O17" s="397"/>
      <c r="P17" s="397">
        <f t="shared" si="6"/>
        <v>86062500</v>
      </c>
      <c r="Q17" s="150"/>
      <c r="R17" s="150"/>
      <c r="S17" s="150"/>
      <c r="T17" s="150"/>
      <c r="U17" s="150"/>
      <c r="V17" s="150"/>
      <c r="W17" s="150"/>
    </row>
    <row r="18" spans="1:23" x14ac:dyDescent="0.25">
      <c r="A18" s="151" t="s">
        <v>80</v>
      </c>
      <c r="B18" s="151">
        <v>1360</v>
      </c>
      <c r="C18" s="397">
        <v>125000</v>
      </c>
      <c r="D18" s="398">
        <f t="shared" si="0"/>
        <v>170000000</v>
      </c>
      <c r="E18" s="397">
        <f t="shared" si="1"/>
        <v>76500000</v>
      </c>
      <c r="F18" s="397">
        <f t="shared" si="5"/>
        <v>92812500</v>
      </c>
      <c r="G18" s="150"/>
      <c r="H18" s="150"/>
      <c r="I18" s="150"/>
      <c r="J18" s="150"/>
      <c r="K18" s="151" t="s">
        <v>80</v>
      </c>
      <c r="L18" s="151">
        <f t="shared" si="2"/>
        <v>1388</v>
      </c>
      <c r="M18" s="397">
        <f t="shared" si="3"/>
        <v>62500</v>
      </c>
      <c r="N18" s="398">
        <f t="shared" si="4"/>
        <v>86750000</v>
      </c>
      <c r="O18" s="397"/>
      <c r="P18" s="397">
        <f t="shared" si="6"/>
        <v>88000000</v>
      </c>
      <c r="Q18" s="150"/>
      <c r="R18" s="150"/>
      <c r="S18" s="150"/>
      <c r="T18" s="150"/>
      <c r="U18" s="150"/>
      <c r="V18" s="150"/>
      <c r="W18" s="150"/>
    </row>
    <row r="19" spans="1:23" x14ac:dyDescent="0.25">
      <c r="A19" s="151" t="s">
        <v>81</v>
      </c>
      <c r="B19" s="151">
        <v>1320</v>
      </c>
      <c r="C19" s="397">
        <v>125000</v>
      </c>
      <c r="D19" s="398">
        <f t="shared" si="0"/>
        <v>165000000</v>
      </c>
      <c r="E19" s="397">
        <f t="shared" si="1"/>
        <v>74250000</v>
      </c>
      <c r="F19" s="397">
        <f t="shared" si="5"/>
        <v>93500000</v>
      </c>
      <c r="G19" s="150"/>
      <c r="H19" s="150"/>
      <c r="I19" s="150"/>
      <c r="J19" s="150"/>
      <c r="K19" s="151" t="s">
        <v>81</v>
      </c>
      <c r="L19" s="151">
        <f t="shared" si="2"/>
        <v>1347</v>
      </c>
      <c r="M19" s="397">
        <f t="shared" si="3"/>
        <v>62500</v>
      </c>
      <c r="N19" s="398">
        <f t="shared" si="4"/>
        <v>84187500</v>
      </c>
      <c r="O19" s="397"/>
      <c r="P19" s="397">
        <f t="shared" si="6"/>
        <v>86062500</v>
      </c>
      <c r="Q19" s="150"/>
      <c r="R19" s="150"/>
      <c r="S19" s="150"/>
      <c r="T19" s="150"/>
      <c r="U19" s="150"/>
      <c r="V19" s="150"/>
      <c r="W19" s="150"/>
    </row>
    <row r="20" spans="1:23" x14ac:dyDescent="0.25">
      <c r="A20" s="151" t="s">
        <v>82</v>
      </c>
      <c r="B20" s="151">
        <v>1370</v>
      </c>
      <c r="C20" s="397">
        <v>125000</v>
      </c>
      <c r="D20" s="398">
        <f t="shared" si="0"/>
        <v>171250000</v>
      </c>
      <c r="E20" s="397">
        <f t="shared" si="1"/>
        <v>77062500</v>
      </c>
      <c r="F20" s="397">
        <f t="shared" si="5"/>
        <v>90750000</v>
      </c>
      <c r="G20" s="150"/>
      <c r="H20" s="150"/>
      <c r="I20" s="150"/>
      <c r="J20" s="150"/>
      <c r="K20" s="151" t="s">
        <v>82</v>
      </c>
      <c r="L20" s="151">
        <f t="shared" si="2"/>
        <v>1398</v>
      </c>
      <c r="M20" s="397">
        <f t="shared" si="3"/>
        <v>62500</v>
      </c>
      <c r="N20" s="398">
        <f t="shared" si="4"/>
        <v>87375000</v>
      </c>
      <c r="O20" s="397"/>
      <c r="P20" s="397">
        <f t="shared" si="6"/>
        <v>86750000</v>
      </c>
      <c r="Q20" s="150"/>
      <c r="R20" s="150"/>
      <c r="S20" s="150"/>
      <c r="T20" s="150"/>
      <c r="U20" s="150"/>
      <c r="V20" s="150"/>
      <c r="W20" s="150"/>
    </row>
    <row r="21" spans="1:23" x14ac:dyDescent="0.25">
      <c r="A21" s="151" t="s">
        <v>83</v>
      </c>
      <c r="B21" s="151">
        <v>1380</v>
      </c>
      <c r="C21" s="397">
        <v>125000</v>
      </c>
      <c r="D21" s="398">
        <f t="shared" si="0"/>
        <v>172500000</v>
      </c>
      <c r="E21" s="397">
        <f t="shared" si="1"/>
        <v>77625000</v>
      </c>
      <c r="F21" s="397">
        <f t="shared" si="5"/>
        <v>94187500</v>
      </c>
      <c r="G21" s="150"/>
      <c r="H21" s="150"/>
      <c r="I21" s="150"/>
      <c r="J21" s="150"/>
      <c r="K21" s="151" t="s">
        <v>83</v>
      </c>
      <c r="L21" s="151">
        <f t="shared" si="2"/>
        <v>1408</v>
      </c>
      <c r="M21" s="397">
        <f t="shared" si="3"/>
        <v>62500</v>
      </c>
      <c r="N21" s="398">
        <f t="shared" si="4"/>
        <v>88000000</v>
      </c>
      <c r="O21" s="397"/>
      <c r="P21" s="397">
        <f t="shared" si="6"/>
        <v>84187500</v>
      </c>
      <c r="Q21" s="150"/>
      <c r="R21" s="150"/>
      <c r="S21" s="150"/>
      <c r="T21" s="150"/>
      <c r="U21" s="150"/>
      <c r="V21" s="150"/>
      <c r="W21" s="150"/>
    </row>
    <row r="22" spans="1:23" x14ac:dyDescent="0.25">
      <c r="A22" s="151" t="s">
        <v>84</v>
      </c>
      <c r="B22" s="151">
        <v>1390</v>
      </c>
      <c r="C22" s="397">
        <v>125000</v>
      </c>
      <c r="D22" s="398">
        <f t="shared" si="0"/>
        <v>173750000</v>
      </c>
      <c r="E22" s="397">
        <f t="shared" si="1"/>
        <v>78187500</v>
      </c>
      <c r="F22" s="397">
        <f t="shared" si="5"/>
        <v>94875000</v>
      </c>
      <c r="G22" s="150"/>
      <c r="H22" s="150"/>
      <c r="I22" s="150"/>
      <c r="J22" s="150"/>
      <c r="K22" s="151" t="s">
        <v>84</v>
      </c>
      <c r="L22" s="151">
        <f t="shared" si="2"/>
        <v>1418</v>
      </c>
      <c r="M22" s="397">
        <f t="shared" si="3"/>
        <v>62500</v>
      </c>
      <c r="N22" s="398">
        <f t="shared" si="4"/>
        <v>88625000</v>
      </c>
      <c r="O22" s="397"/>
      <c r="P22" s="397">
        <f t="shared" si="6"/>
        <v>87375000</v>
      </c>
      <c r="Q22" s="150"/>
      <c r="R22" s="150"/>
      <c r="S22" s="150"/>
      <c r="T22" s="150"/>
      <c r="U22" s="150"/>
      <c r="V22" s="150"/>
      <c r="W22" s="150"/>
    </row>
    <row r="23" spans="1:23" x14ac:dyDescent="0.25">
      <c r="A23" s="151" t="s">
        <v>65</v>
      </c>
      <c r="B23" s="151">
        <v>1400</v>
      </c>
      <c r="C23" s="397">
        <v>125000</v>
      </c>
      <c r="D23" s="398">
        <f t="shared" si="0"/>
        <v>175000000</v>
      </c>
      <c r="E23" s="397">
        <f t="shared" si="1"/>
        <v>78750000</v>
      </c>
      <c r="F23" s="397">
        <f t="shared" si="5"/>
        <v>95562500</v>
      </c>
      <c r="G23" s="150"/>
      <c r="H23" s="150"/>
      <c r="I23" s="150"/>
      <c r="J23" s="150"/>
      <c r="K23" s="151" t="s">
        <v>65</v>
      </c>
      <c r="L23" s="151">
        <f t="shared" si="2"/>
        <v>1428</v>
      </c>
      <c r="M23" s="397">
        <f t="shared" si="3"/>
        <v>62500</v>
      </c>
      <c r="N23" s="398">
        <f t="shared" si="4"/>
        <v>89250000</v>
      </c>
      <c r="O23" s="397"/>
      <c r="P23" s="397">
        <f t="shared" si="6"/>
        <v>88000000</v>
      </c>
      <c r="Q23" s="150"/>
      <c r="R23" s="150"/>
      <c r="S23" s="150"/>
      <c r="T23" s="150"/>
      <c r="U23" s="150"/>
      <c r="V23" s="150"/>
      <c r="W23" s="150"/>
    </row>
    <row r="24" spans="1:23" x14ac:dyDescent="0.25">
      <c r="A24" s="151" t="s">
        <v>74</v>
      </c>
      <c r="B24" s="151"/>
      <c r="C24" s="151"/>
      <c r="D24" s="151"/>
      <c r="E24" s="151"/>
      <c r="F24" s="397">
        <f t="shared" si="5"/>
        <v>96250000</v>
      </c>
      <c r="G24" s="150"/>
      <c r="H24" s="150"/>
      <c r="I24" s="150"/>
      <c r="J24" s="150"/>
      <c r="K24" s="151" t="s">
        <v>74</v>
      </c>
      <c r="L24" s="151"/>
      <c r="M24" s="151"/>
      <c r="N24" s="151"/>
      <c r="O24" s="151"/>
      <c r="P24" s="397">
        <f t="shared" si="6"/>
        <v>88625000</v>
      </c>
      <c r="Q24" s="150"/>
      <c r="R24" s="150"/>
      <c r="S24" s="150"/>
      <c r="T24" s="150"/>
      <c r="U24" s="150"/>
      <c r="V24" s="150"/>
      <c r="W24" s="150"/>
    </row>
    <row r="25" spans="1:23" x14ac:dyDescent="0.25">
      <c r="A25" s="151" t="s">
        <v>75</v>
      </c>
      <c r="B25" s="151"/>
      <c r="C25" s="151"/>
      <c r="D25" s="151"/>
      <c r="E25" s="151"/>
      <c r="F25" s="151"/>
      <c r="G25" s="150"/>
      <c r="H25" s="150"/>
      <c r="I25" s="150"/>
      <c r="J25" s="150"/>
      <c r="K25" s="151" t="s">
        <v>75</v>
      </c>
      <c r="L25" s="151"/>
      <c r="M25" s="151"/>
      <c r="N25" s="151"/>
      <c r="O25" s="151"/>
      <c r="P25" s="397">
        <f t="shared" si="6"/>
        <v>89250000</v>
      </c>
      <c r="Q25" s="150"/>
      <c r="R25" s="150"/>
      <c r="S25" s="150"/>
      <c r="T25" s="150"/>
      <c r="U25" s="150"/>
      <c r="V25" s="150"/>
      <c r="W25" s="150"/>
    </row>
    <row r="26" spans="1:23" x14ac:dyDescent="0.25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</row>
    <row r="27" spans="1:23" x14ac:dyDescent="0.25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</row>
    <row r="28" spans="1:23" ht="15.75" thickBot="1" x14ac:dyDescent="0.3">
      <c r="A28" s="150"/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</row>
    <row r="29" spans="1:23" ht="16.5" thickBot="1" x14ac:dyDescent="0.3">
      <c r="A29" s="614" t="s">
        <v>14</v>
      </c>
      <c r="B29" s="615"/>
      <c r="C29" s="615"/>
      <c r="D29" s="615"/>
      <c r="E29" s="615"/>
      <c r="F29" s="616"/>
      <c r="G29" s="150"/>
      <c r="H29" s="150"/>
      <c r="I29" s="150"/>
      <c r="J29" s="150"/>
      <c r="K29" s="614" t="s">
        <v>56</v>
      </c>
      <c r="L29" s="615"/>
      <c r="M29" s="615"/>
      <c r="N29" s="615"/>
      <c r="O29" s="615"/>
      <c r="P29" s="616"/>
      <c r="Q29" s="150"/>
      <c r="R29" s="150"/>
      <c r="S29" s="150"/>
      <c r="T29" s="150"/>
      <c r="U29" s="150"/>
      <c r="V29" s="150"/>
      <c r="W29" s="150"/>
    </row>
    <row r="30" spans="1:23" ht="16.5" thickBot="1" x14ac:dyDescent="0.3">
      <c r="A30" s="610" t="s">
        <v>251</v>
      </c>
      <c r="B30" s="611"/>
      <c r="C30" s="611"/>
      <c r="D30" s="611"/>
      <c r="E30" s="611"/>
      <c r="F30" s="612"/>
      <c r="G30" s="150"/>
      <c r="H30" s="150"/>
      <c r="I30" s="150"/>
      <c r="J30" s="150"/>
      <c r="K30" s="610" t="s">
        <v>251</v>
      </c>
      <c r="L30" s="611"/>
      <c r="M30" s="611"/>
      <c r="N30" s="611"/>
      <c r="O30" s="611"/>
      <c r="P30" s="612"/>
      <c r="Q30" s="150"/>
      <c r="R30" s="150"/>
      <c r="S30" s="150"/>
      <c r="T30" s="150"/>
      <c r="U30" s="150"/>
      <c r="V30" s="150"/>
      <c r="W30" s="150"/>
    </row>
    <row r="31" spans="1:23" ht="16.5" thickBot="1" x14ac:dyDescent="0.3">
      <c r="A31" s="399"/>
      <c r="B31" s="400"/>
      <c r="C31" s="401"/>
      <c r="D31" s="390"/>
      <c r="E31" s="391">
        <v>0.45</v>
      </c>
      <c r="F31" s="390"/>
      <c r="G31" s="150"/>
      <c r="H31" s="150"/>
      <c r="I31" s="141" t="s">
        <v>233</v>
      </c>
      <c r="J31" s="392">
        <v>0.5</v>
      </c>
      <c r="K31" s="389"/>
      <c r="L31" s="389"/>
      <c r="M31" s="389"/>
      <c r="N31" s="390"/>
      <c r="O31" s="393"/>
      <c r="P31" s="390"/>
      <c r="Q31" s="150"/>
      <c r="R31" s="150"/>
      <c r="S31" s="150"/>
      <c r="T31" s="150"/>
      <c r="U31" s="150"/>
      <c r="V31" s="150"/>
      <c r="W31" s="150"/>
    </row>
    <row r="32" spans="1:23" ht="47.25" x14ac:dyDescent="0.25">
      <c r="A32" s="394" t="s">
        <v>242</v>
      </c>
      <c r="B32" s="394" t="s">
        <v>207</v>
      </c>
      <c r="C32" s="394" t="s">
        <v>234</v>
      </c>
      <c r="D32" s="402" t="s">
        <v>243</v>
      </c>
      <c r="E32" s="402" t="s">
        <v>244</v>
      </c>
      <c r="F32" s="402" t="s">
        <v>245</v>
      </c>
      <c r="G32" s="150"/>
      <c r="H32" s="150"/>
      <c r="I32" s="150"/>
      <c r="J32" s="150"/>
      <c r="K32" s="394" t="s">
        <v>242</v>
      </c>
      <c r="L32" s="394" t="s">
        <v>207</v>
      </c>
      <c r="M32" s="394" t="s">
        <v>246</v>
      </c>
      <c r="N32" s="394" t="s">
        <v>247</v>
      </c>
      <c r="O32" s="394" t="s">
        <v>244</v>
      </c>
      <c r="P32" s="396" t="s">
        <v>248</v>
      </c>
      <c r="Q32" s="150"/>
      <c r="R32" s="150"/>
      <c r="S32" s="150"/>
      <c r="T32" s="150"/>
      <c r="U32" s="150"/>
      <c r="V32" s="150"/>
      <c r="W32" s="150"/>
    </row>
    <row r="33" spans="1:23" x14ac:dyDescent="0.25">
      <c r="A33" s="151" t="s">
        <v>74</v>
      </c>
      <c r="B33" s="151">
        <v>890</v>
      </c>
      <c r="C33" s="397">
        <v>198000</v>
      </c>
      <c r="D33" s="398">
        <f>+B33*C33</f>
        <v>176220000</v>
      </c>
      <c r="E33" s="397">
        <f>+D33*$E$31</f>
        <v>79299000</v>
      </c>
      <c r="F33" s="397"/>
      <c r="G33" s="150"/>
      <c r="H33" s="150"/>
      <c r="I33" s="150"/>
      <c r="J33" s="150"/>
      <c r="K33" s="151" t="s">
        <v>74</v>
      </c>
      <c r="L33" s="151">
        <f>+ROUNDUP(B33*1.02,0)</f>
        <v>908</v>
      </c>
      <c r="M33" s="397">
        <f>+C33*(1-$J$31)</f>
        <v>99000</v>
      </c>
      <c r="N33" s="398">
        <f>+L33*M33</f>
        <v>89892000</v>
      </c>
      <c r="O33" s="397"/>
      <c r="P33" s="397"/>
      <c r="Q33" s="150"/>
      <c r="R33" s="150"/>
      <c r="S33" s="150"/>
      <c r="T33" s="150"/>
      <c r="U33" s="150"/>
      <c r="V33" s="150"/>
      <c r="W33" s="150"/>
    </row>
    <row r="34" spans="1:23" x14ac:dyDescent="0.25">
      <c r="A34" s="151" t="s">
        <v>75</v>
      </c>
      <c r="B34" s="151">
        <v>879</v>
      </c>
      <c r="C34" s="397">
        <v>198000</v>
      </c>
      <c r="D34" s="398">
        <f t="shared" ref="D34:D44" si="7">+B34*C34</f>
        <v>174042000</v>
      </c>
      <c r="E34" s="397">
        <f t="shared" ref="E34:E44" si="8">+D34*$E$31</f>
        <v>78318900</v>
      </c>
      <c r="F34" s="397">
        <f>+D33-E33</f>
        <v>96921000</v>
      </c>
      <c r="G34" s="150"/>
      <c r="H34" s="150"/>
      <c r="I34" s="150"/>
      <c r="J34" s="150"/>
      <c r="K34" s="151" t="s">
        <v>75</v>
      </c>
      <c r="L34" s="151">
        <f t="shared" ref="L34:L44" si="9">+ROUNDUP(B34*1.02,0)</f>
        <v>897</v>
      </c>
      <c r="M34" s="397">
        <f t="shared" ref="M34:M44" si="10">+C34*(1-$J$31)</f>
        <v>99000</v>
      </c>
      <c r="N34" s="398">
        <f t="shared" ref="N34:N44" si="11">+L34*M34</f>
        <v>88803000</v>
      </c>
      <c r="O34" s="397"/>
      <c r="P34" s="397"/>
      <c r="Q34" s="150"/>
      <c r="R34" s="150"/>
      <c r="S34" s="150"/>
      <c r="T34" s="360">
        <v>450000000</v>
      </c>
      <c r="U34" s="150"/>
      <c r="V34" s="150"/>
      <c r="W34" s="150"/>
    </row>
    <row r="35" spans="1:23" x14ac:dyDescent="0.25">
      <c r="A35" s="151" t="s">
        <v>249</v>
      </c>
      <c r="B35" s="151">
        <v>865</v>
      </c>
      <c r="C35" s="397">
        <v>198000</v>
      </c>
      <c r="D35" s="398">
        <f t="shared" si="7"/>
        <v>171270000</v>
      </c>
      <c r="E35" s="397">
        <f t="shared" si="8"/>
        <v>77071500</v>
      </c>
      <c r="F35" s="397">
        <f t="shared" ref="F35:F45" si="12">+D34-E34</f>
        <v>95723100</v>
      </c>
      <c r="G35" s="150"/>
      <c r="H35" s="150"/>
      <c r="I35" s="150"/>
      <c r="J35" s="150"/>
      <c r="K35" s="151" t="s">
        <v>249</v>
      </c>
      <c r="L35" s="151">
        <f t="shared" si="9"/>
        <v>883</v>
      </c>
      <c r="M35" s="397">
        <f t="shared" si="10"/>
        <v>99000</v>
      </c>
      <c r="N35" s="398">
        <f t="shared" si="11"/>
        <v>87417000</v>
      </c>
      <c r="O35" s="397"/>
      <c r="P35" s="397">
        <f>+N33</f>
        <v>89892000</v>
      </c>
      <c r="Q35" s="150"/>
      <c r="R35" s="150"/>
      <c r="S35" s="150"/>
      <c r="T35" s="150">
        <v>24</v>
      </c>
      <c r="U35" s="403">
        <f>PMT(T36,T35,T34)</f>
        <v>-20931767.040695127</v>
      </c>
      <c r="V35" s="150"/>
      <c r="W35" s="150"/>
    </row>
    <row r="36" spans="1:23" x14ac:dyDescent="0.25">
      <c r="A36" s="151" t="s">
        <v>77</v>
      </c>
      <c r="B36" s="151">
        <v>890</v>
      </c>
      <c r="C36" s="397">
        <v>198000</v>
      </c>
      <c r="D36" s="398">
        <f t="shared" si="7"/>
        <v>176220000</v>
      </c>
      <c r="E36" s="397">
        <f t="shared" si="8"/>
        <v>79299000</v>
      </c>
      <c r="F36" s="397">
        <f t="shared" si="12"/>
        <v>94198500</v>
      </c>
      <c r="G36" s="150"/>
      <c r="H36" s="150"/>
      <c r="I36" s="150"/>
      <c r="J36" s="150"/>
      <c r="K36" s="151" t="s">
        <v>77</v>
      </c>
      <c r="L36" s="151">
        <f t="shared" si="9"/>
        <v>908</v>
      </c>
      <c r="M36" s="397">
        <f t="shared" si="10"/>
        <v>99000</v>
      </c>
      <c r="N36" s="398">
        <f t="shared" si="11"/>
        <v>89892000</v>
      </c>
      <c r="O36" s="397"/>
      <c r="P36" s="397">
        <f t="shared" ref="P36:P46" si="13">+N34</f>
        <v>88803000</v>
      </c>
      <c r="Q36" s="150"/>
      <c r="R36" s="150"/>
      <c r="S36" s="150"/>
      <c r="T36" s="404">
        <v>8.9999999999999993E-3</v>
      </c>
      <c r="U36" s="150"/>
      <c r="V36" s="150"/>
      <c r="W36" s="150"/>
    </row>
    <row r="37" spans="1:23" x14ac:dyDescent="0.25">
      <c r="A37" s="151" t="s">
        <v>250</v>
      </c>
      <c r="B37" s="151">
        <v>900</v>
      </c>
      <c r="C37" s="397">
        <v>198000</v>
      </c>
      <c r="D37" s="398">
        <f t="shared" si="7"/>
        <v>178200000</v>
      </c>
      <c r="E37" s="397">
        <f t="shared" si="8"/>
        <v>80190000</v>
      </c>
      <c r="F37" s="397">
        <f t="shared" si="12"/>
        <v>96921000</v>
      </c>
      <c r="G37" s="150"/>
      <c r="H37" s="150"/>
      <c r="I37" s="150"/>
      <c r="J37" s="150"/>
      <c r="K37" s="151" t="s">
        <v>250</v>
      </c>
      <c r="L37" s="151">
        <f t="shared" si="9"/>
        <v>918</v>
      </c>
      <c r="M37" s="397">
        <f t="shared" si="10"/>
        <v>99000</v>
      </c>
      <c r="N37" s="398">
        <f t="shared" si="11"/>
        <v>90882000</v>
      </c>
      <c r="O37" s="397"/>
      <c r="P37" s="397">
        <f t="shared" si="13"/>
        <v>87417000</v>
      </c>
      <c r="Q37" s="150"/>
      <c r="R37" s="150"/>
      <c r="S37" s="150"/>
      <c r="T37" s="150"/>
      <c r="U37" s="150"/>
      <c r="V37" s="150"/>
      <c r="W37" s="150"/>
    </row>
    <row r="38" spans="1:23" x14ac:dyDescent="0.25">
      <c r="A38" s="151" t="s">
        <v>79</v>
      </c>
      <c r="B38" s="151">
        <v>920</v>
      </c>
      <c r="C38" s="397">
        <v>198000</v>
      </c>
      <c r="D38" s="398">
        <f t="shared" si="7"/>
        <v>182160000</v>
      </c>
      <c r="E38" s="397">
        <f t="shared" si="8"/>
        <v>81972000</v>
      </c>
      <c r="F38" s="397">
        <f t="shared" si="12"/>
        <v>98010000</v>
      </c>
      <c r="G38" s="150"/>
      <c r="H38" s="150"/>
      <c r="I38" s="150"/>
      <c r="J38" s="150"/>
      <c r="K38" s="151" t="s">
        <v>79</v>
      </c>
      <c r="L38" s="151">
        <f t="shared" si="9"/>
        <v>939</v>
      </c>
      <c r="M38" s="397">
        <f t="shared" si="10"/>
        <v>99000</v>
      </c>
      <c r="N38" s="398">
        <f t="shared" si="11"/>
        <v>92961000</v>
      </c>
      <c r="O38" s="397"/>
      <c r="P38" s="397">
        <f t="shared" si="13"/>
        <v>89892000</v>
      </c>
      <c r="Q38" s="150"/>
      <c r="R38" s="150"/>
      <c r="S38" s="150"/>
      <c r="T38" s="150"/>
      <c r="U38" s="150"/>
      <c r="V38" s="150"/>
      <c r="W38" s="150"/>
    </row>
    <row r="39" spans="1:23" x14ac:dyDescent="0.25">
      <c r="A39" s="151" t="s">
        <v>80</v>
      </c>
      <c r="B39" s="151">
        <v>910</v>
      </c>
      <c r="C39" s="397">
        <v>198000</v>
      </c>
      <c r="D39" s="398">
        <f t="shared" si="7"/>
        <v>180180000</v>
      </c>
      <c r="E39" s="397">
        <f t="shared" si="8"/>
        <v>81081000</v>
      </c>
      <c r="F39" s="397">
        <f t="shared" si="12"/>
        <v>100188000</v>
      </c>
      <c r="G39" s="150"/>
      <c r="H39" s="150"/>
      <c r="I39" s="150"/>
      <c r="J39" s="150"/>
      <c r="K39" s="151" t="s">
        <v>80</v>
      </c>
      <c r="L39" s="151">
        <f t="shared" si="9"/>
        <v>929</v>
      </c>
      <c r="M39" s="397">
        <f t="shared" si="10"/>
        <v>99000</v>
      </c>
      <c r="N39" s="398">
        <f t="shared" si="11"/>
        <v>91971000</v>
      </c>
      <c r="O39" s="397"/>
      <c r="P39" s="397">
        <f t="shared" si="13"/>
        <v>90882000</v>
      </c>
      <c r="Q39" s="150"/>
      <c r="R39" s="150"/>
      <c r="S39" s="150" t="s">
        <v>252</v>
      </c>
      <c r="T39" s="150" t="s">
        <v>253</v>
      </c>
      <c r="U39" s="150" t="s">
        <v>254</v>
      </c>
      <c r="V39" s="150"/>
      <c r="W39" s="150"/>
    </row>
    <row r="40" spans="1:23" x14ac:dyDescent="0.25">
      <c r="A40" s="151" t="s">
        <v>81</v>
      </c>
      <c r="B40" s="151">
        <v>895</v>
      </c>
      <c r="C40" s="397">
        <v>198000</v>
      </c>
      <c r="D40" s="398">
        <f t="shared" si="7"/>
        <v>177210000</v>
      </c>
      <c r="E40" s="397">
        <f t="shared" si="8"/>
        <v>79744500</v>
      </c>
      <c r="F40" s="397">
        <f t="shared" si="12"/>
        <v>99099000</v>
      </c>
      <c r="G40" s="150"/>
      <c r="H40" s="150"/>
      <c r="I40" s="150"/>
      <c r="J40" s="150"/>
      <c r="K40" s="151" t="s">
        <v>81</v>
      </c>
      <c r="L40" s="151">
        <f t="shared" si="9"/>
        <v>913</v>
      </c>
      <c r="M40" s="397">
        <f t="shared" si="10"/>
        <v>99000</v>
      </c>
      <c r="N40" s="398">
        <f t="shared" si="11"/>
        <v>90387000</v>
      </c>
      <c r="O40" s="397"/>
      <c r="P40" s="397">
        <f t="shared" si="13"/>
        <v>92961000</v>
      </c>
      <c r="Q40" s="150"/>
      <c r="R40" s="150">
        <v>0</v>
      </c>
      <c r="S40" s="150"/>
      <c r="T40" s="150"/>
      <c r="U40" s="150"/>
      <c r="V40" s="364">
        <f>+T34</f>
        <v>450000000</v>
      </c>
      <c r="W40" s="150"/>
    </row>
    <row r="41" spans="1:23" x14ac:dyDescent="0.25">
      <c r="A41" s="151" t="s">
        <v>82</v>
      </c>
      <c r="B41" s="151">
        <v>902</v>
      </c>
      <c r="C41" s="397">
        <v>198000</v>
      </c>
      <c r="D41" s="398">
        <f t="shared" si="7"/>
        <v>178596000</v>
      </c>
      <c r="E41" s="397">
        <f t="shared" si="8"/>
        <v>80368200</v>
      </c>
      <c r="F41" s="397">
        <f t="shared" si="12"/>
        <v>97465500</v>
      </c>
      <c r="G41" s="150"/>
      <c r="H41" s="150"/>
      <c r="I41" s="150"/>
      <c r="J41" s="150"/>
      <c r="K41" s="151" t="s">
        <v>82</v>
      </c>
      <c r="L41" s="151">
        <f t="shared" si="9"/>
        <v>921</v>
      </c>
      <c r="M41" s="397">
        <f t="shared" si="10"/>
        <v>99000</v>
      </c>
      <c r="N41" s="398">
        <f t="shared" si="11"/>
        <v>91179000</v>
      </c>
      <c r="O41" s="397"/>
      <c r="P41" s="397">
        <f t="shared" si="13"/>
        <v>91971000</v>
      </c>
      <c r="Q41" s="150"/>
      <c r="R41" s="151">
        <v>1</v>
      </c>
      <c r="S41" s="405">
        <f>+V40*T36</f>
        <v>4049999.9999999995</v>
      </c>
      <c r="T41" s="405">
        <f>+$U$35*-1</f>
        <v>20931767.040695127</v>
      </c>
      <c r="U41" s="406">
        <f>+T41-S41</f>
        <v>16881767.040695127</v>
      </c>
      <c r="V41" s="406">
        <f>+V40-U41</f>
        <v>433118232.95930487</v>
      </c>
      <c r="W41" s="150"/>
    </row>
    <row r="42" spans="1:23" x14ac:dyDescent="0.25">
      <c r="A42" s="151" t="s">
        <v>83</v>
      </c>
      <c r="B42" s="151">
        <v>903</v>
      </c>
      <c r="C42" s="397">
        <v>198000</v>
      </c>
      <c r="D42" s="398">
        <f t="shared" si="7"/>
        <v>178794000</v>
      </c>
      <c r="E42" s="397">
        <f t="shared" si="8"/>
        <v>80457300</v>
      </c>
      <c r="F42" s="397">
        <f t="shared" si="12"/>
        <v>98227800</v>
      </c>
      <c r="G42" s="150"/>
      <c r="H42" s="150"/>
      <c r="I42" s="150"/>
      <c r="J42" s="150"/>
      <c r="K42" s="151" t="s">
        <v>83</v>
      </c>
      <c r="L42" s="151">
        <f t="shared" si="9"/>
        <v>922</v>
      </c>
      <c r="M42" s="397">
        <f t="shared" si="10"/>
        <v>99000</v>
      </c>
      <c r="N42" s="398">
        <f t="shared" si="11"/>
        <v>91278000</v>
      </c>
      <c r="O42" s="397"/>
      <c r="P42" s="397">
        <f t="shared" si="13"/>
        <v>90387000</v>
      </c>
      <c r="Q42" s="150"/>
      <c r="R42" s="151">
        <v>2</v>
      </c>
      <c r="S42" s="405">
        <f>+V41*$T$36</f>
        <v>3898064.0966337435</v>
      </c>
      <c r="T42" s="405">
        <f t="shared" ref="T42:T64" si="14">+$U$35*-1</f>
        <v>20931767.040695127</v>
      </c>
      <c r="U42" s="406">
        <f t="shared" ref="U42:U64" si="15">+T42-S42</f>
        <v>17033702.944061384</v>
      </c>
      <c r="V42" s="406">
        <f t="shared" ref="V42:V64" si="16">+V41-U42</f>
        <v>416084530.01524347</v>
      </c>
      <c r="W42" s="150"/>
    </row>
    <row r="43" spans="1:23" x14ac:dyDescent="0.25">
      <c r="A43" s="151" t="s">
        <v>84</v>
      </c>
      <c r="B43" s="151">
        <v>950</v>
      </c>
      <c r="C43" s="397">
        <v>198000</v>
      </c>
      <c r="D43" s="398">
        <f t="shared" si="7"/>
        <v>188100000</v>
      </c>
      <c r="E43" s="397">
        <f t="shared" si="8"/>
        <v>84645000</v>
      </c>
      <c r="F43" s="397">
        <f t="shared" si="12"/>
        <v>98336700</v>
      </c>
      <c r="G43" s="150"/>
      <c r="H43" s="150"/>
      <c r="I43" s="150"/>
      <c r="J43" s="150"/>
      <c r="K43" s="151" t="s">
        <v>84</v>
      </c>
      <c r="L43" s="151">
        <f t="shared" si="9"/>
        <v>969</v>
      </c>
      <c r="M43" s="397">
        <f t="shared" si="10"/>
        <v>99000</v>
      </c>
      <c r="N43" s="398">
        <f t="shared" si="11"/>
        <v>95931000</v>
      </c>
      <c r="O43" s="397"/>
      <c r="P43" s="397">
        <f t="shared" si="13"/>
        <v>91179000</v>
      </c>
      <c r="Q43" s="150"/>
      <c r="R43" s="151">
        <v>3</v>
      </c>
      <c r="S43" s="405">
        <f t="shared" ref="S43:S64" si="17">+V42*$T$36</f>
        <v>3744760.7701371908</v>
      </c>
      <c r="T43" s="405">
        <f t="shared" si="14"/>
        <v>20931767.040695127</v>
      </c>
      <c r="U43" s="406">
        <f t="shared" si="15"/>
        <v>17187006.270557936</v>
      </c>
      <c r="V43" s="406">
        <f t="shared" si="16"/>
        <v>398897523.74468553</v>
      </c>
      <c r="W43" s="150"/>
    </row>
    <row r="44" spans="1:23" x14ac:dyDescent="0.25">
      <c r="A44" s="151" t="s">
        <v>65</v>
      </c>
      <c r="B44" s="151">
        <v>1000</v>
      </c>
      <c r="C44" s="397">
        <v>198000</v>
      </c>
      <c r="D44" s="398">
        <f t="shared" si="7"/>
        <v>198000000</v>
      </c>
      <c r="E44" s="397">
        <f t="shared" si="8"/>
        <v>89100000</v>
      </c>
      <c r="F44" s="397">
        <f t="shared" si="12"/>
        <v>103455000</v>
      </c>
      <c r="G44" s="150"/>
      <c r="H44" s="150"/>
      <c r="I44" s="150"/>
      <c r="J44" s="150"/>
      <c r="K44" s="151" t="s">
        <v>65</v>
      </c>
      <c r="L44" s="151">
        <f t="shared" si="9"/>
        <v>1020</v>
      </c>
      <c r="M44" s="397">
        <f t="shared" si="10"/>
        <v>99000</v>
      </c>
      <c r="N44" s="398">
        <f t="shared" si="11"/>
        <v>100980000</v>
      </c>
      <c r="O44" s="397"/>
      <c r="P44" s="397">
        <f t="shared" si="13"/>
        <v>91278000</v>
      </c>
      <c r="Q44" s="150"/>
      <c r="R44" s="151">
        <v>4</v>
      </c>
      <c r="S44" s="405">
        <f t="shared" si="17"/>
        <v>3590077.7137021697</v>
      </c>
      <c r="T44" s="405">
        <f t="shared" si="14"/>
        <v>20931767.040695127</v>
      </c>
      <c r="U44" s="406">
        <f t="shared" si="15"/>
        <v>17341689.326992959</v>
      </c>
      <c r="V44" s="406">
        <f t="shared" si="16"/>
        <v>381555834.41769254</v>
      </c>
      <c r="W44" s="150"/>
    </row>
    <row r="45" spans="1:23" x14ac:dyDescent="0.25">
      <c r="A45" s="151" t="s">
        <v>74</v>
      </c>
      <c r="B45" s="151"/>
      <c r="C45" s="151"/>
      <c r="D45" s="151"/>
      <c r="E45" s="397"/>
      <c r="F45" s="397">
        <f t="shared" si="12"/>
        <v>108900000</v>
      </c>
      <c r="G45" s="150"/>
      <c r="H45" s="150"/>
      <c r="I45" s="150"/>
      <c r="J45" s="150"/>
      <c r="K45" s="151" t="s">
        <v>74</v>
      </c>
      <c r="L45" s="151"/>
      <c r="M45" s="151"/>
      <c r="N45" s="151"/>
      <c r="O45" s="151"/>
      <c r="P45" s="397">
        <f t="shared" si="13"/>
        <v>95931000</v>
      </c>
      <c r="Q45" s="150"/>
      <c r="R45" s="151">
        <v>5</v>
      </c>
      <c r="S45" s="405">
        <f t="shared" si="17"/>
        <v>3434002.5097592324</v>
      </c>
      <c r="T45" s="405">
        <f t="shared" si="14"/>
        <v>20931767.040695127</v>
      </c>
      <c r="U45" s="406">
        <f t="shared" si="15"/>
        <v>17497764.530935895</v>
      </c>
      <c r="V45" s="406">
        <f t="shared" si="16"/>
        <v>364058069.88675666</v>
      </c>
      <c r="W45" s="150"/>
    </row>
    <row r="46" spans="1:23" x14ac:dyDescent="0.25">
      <c r="A46" s="151" t="s">
        <v>75</v>
      </c>
      <c r="B46" s="151"/>
      <c r="C46" s="151"/>
      <c r="D46" s="151"/>
      <c r="E46" s="151"/>
      <c r="F46" s="151"/>
      <c r="G46" s="150"/>
      <c r="H46" s="150"/>
      <c r="I46" s="150"/>
      <c r="J46" s="150"/>
      <c r="K46" s="151" t="s">
        <v>75</v>
      </c>
      <c r="L46" s="151"/>
      <c r="M46" s="151"/>
      <c r="N46" s="151"/>
      <c r="O46" s="151"/>
      <c r="P46" s="397">
        <f t="shared" si="13"/>
        <v>100980000</v>
      </c>
      <c r="Q46" s="150"/>
      <c r="R46" s="151">
        <v>6</v>
      </c>
      <c r="S46" s="405">
        <f t="shared" si="17"/>
        <v>3276522.6289808098</v>
      </c>
      <c r="T46" s="405">
        <f t="shared" si="14"/>
        <v>20931767.040695127</v>
      </c>
      <c r="U46" s="406">
        <f t="shared" si="15"/>
        <v>17655244.411714315</v>
      </c>
      <c r="V46" s="406">
        <f t="shared" si="16"/>
        <v>346402825.47504234</v>
      </c>
      <c r="W46" s="150"/>
    </row>
    <row r="47" spans="1:23" x14ac:dyDescent="0.25">
      <c r="A47" s="150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1">
        <v>7</v>
      </c>
      <c r="S47" s="405">
        <f t="shared" si="17"/>
        <v>3117625.4292753809</v>
      </c>
      <c r="T47" s="405">
        <f t="shared" si="14"/>
        <v>20931767.040695127</v>
      </c>
      <c r="U47" s="406">
        <f t="shared" si="15"/>
        <v>17814141.611419745</v>
      </c>
      <c r="V47" s="406">
        <f t="shared" si="16"/>
        <v>328588683.86362261</v>
      </c>
      <c r="W47" s="150"/>
    </row>
    <row r="48" spans="1:23" x14ac:dyDescent="0.25">
      <c r="A48" s="150"/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1">
        <v>8</v>
      </c>
      <c r="S48" s="405">
        <f t="shared" si="17"/>
        <v>2957298.1547726034</v>
      </c>
      <c r="T48" s="405">
        <f t="shared" si="14"/>
        <v>20931767.040695127</v>
      </c>
      <c r="U48" s="406">
        <f t="shared" si="15"/>
        <v>17974468.885922525</v>
      </c>
      <c r="V48" s="406">
        <f t="shared" si="16"/>
        <v>310614214.97770005</v>
      </c>
      <c r="W48" s="150"/>
    </row>
    <row r="49" spans="1:23" x14ac:dyDescent="0.25">
      <c r="A49" s="150"/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1">
        <v>9</v>
      </c>
      <c r="S49" s="405">
        <f t="shared" si="17"/>
        <v>2795527.9347993005</v>
      </c>
      <c r="T49" s="405">
        <f t="shared" si="14"/>
        <v>20931767.040695127</v>
      </c>
      <c r="U49" s="406">
        <f t="shared" si="15"/>
        <v>18136239.105895825</v>
      </c>
      <c r="V49" s="406">
        <f t="shared" si="16"/>
        <v>292477975.87180424</v>
      </c>
      <c r="W49" s="150"/>
    </row>
    <row r="50" spans="1:23" x14ac:dyDescent="0.25">
      <c r="A50" s="150"/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150"/>
      <c r="O50" s="150"/>
      <c r="P50" s="150"/>
      <c r="Q50" s="150"/>
      <c r="R50" s="151">
        <v>10</v>
      </c>
      <c r="S50" s="405">
        <f t="shared" si="17"/>
        <v>2632301.782846238</v>
      </c>
      <c r="T50" s="405">
        <f t="shared" si="14"/>
        <v>20931767.040695127</v>
      </c>
      <c r="U50" s="406">
        <f t="shared" si="15"/>
        <v>18299465.257848889</v>
      </c>
      <c r="V50" s="406">
        <f t="shared" si="16"/>
        <v>274178510.61395538</v>
      </c>
      <c r="W50" s="150"/>
    </row>
    <row r="51" spans="1:23" x14ac:dyDescent="0.25">
      <c r="A51" s="150"/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1">
        <v>11</v>
      </c>
      <c r="S51" s="405">
        <f t="shared" si="17"/>
        <v>2467606.5955255982</v>
      </c>
      <c r="T51" s="405">
        <f t="shared" si="14"/>
        <v>20931767.040695127</v>
      </c>
      <c r="U51" s="406">
        <f t="shared" si="15"/>
        <v>18464160.445169531</v>
      </c>
      <c r="V51" s="406">
        <f t="shared" si="16"/>
        <v>255714350.16878584</v>
      </c>
      <c r="W51" s="150"/>
    </row>
    <row r="52" spans="1:23" x14ac:dyDescent="0.25">
      <c r="A52" s="150"/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1">
        <v>12</v>
      </c>
      <c r="S52" s="405">
        <f t="shared" si="17"/>
        <v>2301429.1515190722</v>
      </c>
      <c r="T52" s="405">
        <f t="shared" si="14"/>
        <v>20931767.040695127</v>
      </c>
      <c r="U52" s="406">
        <f t="shared" si="15"/>
        <v>18630337.889176056</v>
      </c>
      <c r="V52" s="406">
        <f t="shared" si="16"/>
        <v>237084012.2796098</v>
      </c>
      <c r="W52" s="150"/>
    </row>
    <row r="53" spans="1:23" x14ac:dyDescent="0.25">
      <c r="A53" s="150"/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1">
        <v>13</v>
      </c>
      <c r="S53" s="405">
        <f t="shared" si="17"/>
        <v>2133756.1105164881</v>
      </c>
      <c r="T53" s="405">
        <f t="shared" si="14"/>
        <v>20931767.040695127</v>
      </c>
      <c r="U53" s="406">
        <f t="shared" si="15"/>
        <v>18798010.930178639</v>
      </c>
      <c r="V53" s="406">
        <f t="shared" si="16"/>
        <v>218286001.34943116</v>
      </c>
      <c r="W53" s="150"/>
    </row>
    <row r="54" spans="1:23" x14ac:dyDescent="0.25">
      <c r="A54" s="150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1">
        <v>14</v>
      </c>
      <c r="S54" s="405">
        <f t="shared" si="17"/>
        <v>1964574.0121448804</v>
      </c>
      <c r="T54" s="405">
        <f t="shared" si="14"/>
        <v>20931767.040695127</v>
      </c>
      <c r="U54" s="406">
        <f t="shared" si="15"/>
        <v>18967193.028550245</v>
      </c>
      <c r="V54" s="406">
        <f t="shared" si="16"/>
        <v>199318808.32088092</v>
      </c>
      <c r="W54" s="150"/>
    </row>
    <row r="55" spans="1:23" x14ac:dyDescent="0.25">
      <c r="A55" s="150"/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1">
        <v>15</v>
      </c>
      <c r="S55" s="405">
        <f t="shared" si="17"/>
        <v>1793869.274887928</v>
      </c>
      <c r="T55" s="405">
        <f t="shared" si="14"/>
        <v>20931767.040695127</v>
      </c>
      <c r="U55" s="406">
        <f t="shared" si="15"/>
        <v>19137897.7658072</v>
      </c>
      <c r="V55" s="406">
        <f t="shared" si="16"/>
        <v>180180910.55507371</v>
      </c>
      <c r="W55" s="150"/>
    </row>
    <row r="56" spans="1:23" x14ac:dyDescent="0.25">
      <c r="A56" s="150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1">
        <v>16</v>
      </c>
      <c r="S56" s="405">
        <f t="shared" si="17"/>
        <v>1621628.1949956634</v>
      </c>
      <c r="T56" s="405">
        <f t="shared" si="14"/>
        <v>20931767.040695127</v>
      </c>
      <c r="U56" s="406">
        <f t="shared" si="15"/>
        <v>19310138.845699463</v>
      </c>
      <c r="V56" s="406">
        <f t="shared" si="16"/>
        <v>160870771.70937425</v>
      </c>
      <c r="W56" s="150"/>
    </row>
    <row r="57" spans="1:23" x14ac:dyDescent="0.25">
      <c r="A57" s="150"/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1">
        <v>17</v>
      </c>
      <c r="S57" s="405">
        <f t="shared" si="17"/>
        <v>1447836.9453843681</v>
      </c>
      <c r="T57" s="405">
        <f t="shared" si="14"/>
        <v>20931767.040695127</v>
      </c>
      <c r="U57" s="406">
        <f t="shared" si="15"/>
        <v>19483930.095310759</v>
      </c>
      <c r="V57" s="406">
        <f t="shared" si="16"/>
        <v>141386841.6140635</v>
      </c>
      <c r="W57" s="150"/>
    </row>
    <row r="58" spans="1:23" x14ac:dyDescent="0.25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1">
        <v>18</v>
      </c>
      <c r="S58" s="405">
        <f t="shared" si="17"/>
        <v>1272481.5745265714</v>
      </c>
      <c r="T58" s="405">
        <f t="shared" si="14"/>
        <v>20931767.040695127</v>
      </c>
      <c r="U58" s="406">
        <f t="shared" si="15"/>
        <v>19659285.466168556</v>
      </c>
      <c r="V58" s="406">
        <f t="shared" si="16"/>
        <v>121727556.14789495</v>
      </c>
      <c r="W58" s="150"/>
    </row>
    <row r="59" spans="1:23" x14ac:dyDescent="0.25">
      <c r="A59" s="150"/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50"/>
      <c r="O59" s="150"/>
      <c r="P59" s="150"/>
      <c r="Q59" s="150"/>
      <c r="R59" s="151">
        <v>19</v>
      </c>
      <c r="S59" s="405">
        <f t="shared" si="17"/>
        <v>1095548.0053310546</v>
      </c>
      <c r="T59" s="405">
        <f t="shared" si="14"/>
        <v>20931767.040695127</v>
      </c>
      <c r="U59" s="406">
        <f t="shared" si="15"/>
        <v>19836219.035364073</v>
      </c>
      <c r="V59" s="406">
        <f t="shared" si="16"/>
        <v>101891337.11253087</v>
      </c>
      <c r="W59" s="150"/>
    </row>
    <row r="60" spans="1:23" x14ac:dyDescent="0.25">
      <c r="A60" s="150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1">
        <v>20</v>
      </c>
      <c r="S60" s="405">
        <f t="shared" si="17"/>
        <v>917022.03401277773</v>
      </c>
      <c r="T60" s="405">
        <f t="shared" si="14"/>
        <v>20931767.040695127</v>
      </c>
      <c r="U60" s="406">
        <f t="shared" si="15"/>
        <v>20014745.006682351</v>
      </c>
      <c r="V60" s="406">
        <f t="shared" si="16"/>
        <v>81876592.105848521</v>
      </c>
      <c r="W60" s="150"/>
    </row>
    <row r="61" spans="1:23" x14ac:dyDescent="0.25">
      <c r="A61" s="150"/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1">
        <v>21</v>
      </c>
      <c r="S61" s="405">
        <f t="shared" si="17"/>
        <v>736889.32895263669</v>
      </c>
      <c r="T61" s="405">
        <f t="shared" si="14"/>
        <v>20931767.040695127</v>
      </c>
      <c r="U61" s="406">
        <f t="shared" si="15"/>
        <v>20194877.711742491</v>
      </c>
      <c r="V61" s="406">
        <f t="shared" si="16"/>
        <v>61681714.39410603</v>
      </c>
      <c r="W61" s="150"/>
    </row>
    <row r="62" spans="1:23" x14ac:dyDescent="0.25">
      <c r="A62" s="150"/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1">
        <v>22</v>
      </c>
      <c r="S62" s="405">
        <f t="shared" si="17"/>
        <v>555135.42954695423</v>
      </c>
      <c r="T62" s="405">
        <f t="shared" si="14"/>
        <v>20931767.040695127</v>
      </c>
      <c r="U62" s="406">
        <f t="shared" si="15"/>
        <v>20376631.611148171</v>
      </c>
      <c r="V62" s="406">
        <f t="shared" si="16"/>
        <v>41305082.782957859</v>
      </c>
      <c r="W62" s="150"/>
    </row>
    <row r="63" spans="1:23" x14ac:dyDescent="0.25">
      <c r="A63" s="150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1">
        <v>23</v>
      </c>
      <c r="S63" s="405">
        <f t="shared" si="17"/>
        <v>371745.74504662072</v>
      </c>
      <c r="T63" s="405">
        <f t="shared" si="14"/>
        <v>20931767.040695127</v>
      </c>
      <c r="U63" s="406">
        <f t="shared" si="15"/>
        <v>20560021.295648508</v>
      </c>
      <c r="V63" s="406">
        <f t="shared" si="16"/>
        <v>20745061.487309352</v>
      </c>
      <c r="W63" s="150"/>
    </row>
    <row r="64" spans="1:23" x14ac:dyDescent="0.25">
      <c r="A64" s="150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1">
        <v>24</v>
      </c>
      <c r="S64" s="405">
        <f t="shared" si="17"/>
        <v>186705.55338578415</v>
      </c>
      <c r="T64" s="405">
        <f t="shared" si="14"/>
        <v>20931767.040695127</v>
      </c>
      <c r="U64" s="406">
        <f t="shared" si="15"/>
        <v>20745061.487309344</v>
      </c>
      <c r="V64" s="406">
        <f t="shared" si="16"/>
        <v>0</v>
      </c>
      <c r="W64" s="150"/>
    </row>
    <row r="65" spans="1:23" x14ac:dyDescent="0.25">
      <c r="A65" s="150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</row>
    <row r="66" spans="1:23" x14ac:dyDescent="0.25">
      <c r="A66" s="150"/>
      <c r="B66" s="150"/>
      <c r="C66" s="150" t="s">
        <v>255</v>
      </c>
      <c r="D66" s="150"/>
      <c r="E66" s="150" t="s">
        <v>256</v>
      </c>
      <c r="F66" s="404">
        <v>4.4999999999999998E-2</v>
      </c>
      <c r="G66" s="150"/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</row>
    <row r="67" spans="1:23" x14ac:dyDescent="0.25">
      <c r="A67" s="150"/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</row>
    <row r="68" spans="1:23" x14ac:dyDescent="0.25">
      <c r="A68" s="150"/>
      <c r="B68" s="150">
        <v>0</v>
      </c>
      <c r="C68" s="151" t="s">
        <v>74</v>
      </c>
      <c r="D68" s="151" t="s">
        <v>75</v>
      </c>
      <c r="E68" s="151" t="s">
        <v>76</v>
      </c>
      <c r="F68" s="151" t="s">
        <v>77</v>
      </c>
      <c r="G68" s="151" t="s">
        <v>78</v>
      </c>
      <c r="H68" s="151" t="s">
        <v>79</v>
      </c>
      <c r="I68" s="151" t="s">
        <v>80</v>
      </c>
      <c r="J68" s="151" t="s">
        <v>81</v>
      </c>
      <c r="K68" s="151" t="s">
        <v>82</v>
      </c>
      <c r="L68" s="151" t="s">
        <v>83</v>
      </c>
      <c r="M68" s="151" t="s">
        <v>84</v>
      </c>
      <c r="N68" s="151" t="s">
        <v>65</v>
      </c>
      <c r="O68" s="150"/>
      <c r="P68" s="150"/>
      <c r="Q68" s="150"/>
      <c r="R68" s="150"/>
      <c r="S68" s="150"/>
      <c r="T68" s="150"/>
      <c r="U68" s="150"/>
      <c r="V68" s="150"/>
      <c r="W68" s="150"/>
    </row>
    <row r="69" spans="1:23" x14ac:dyDescent="0.25">
      <c r="A69" s="151" t="s">
        <v>257</v>
      </c>
      <c r="B69" s="397">
        <v>5200000</v>
      </c>
      <c r="C69" s="397">
        <f>+B69*(1+$F$66)</f>
        <v>5434000</v>
      </c>
      <c r="D69" s="397">
        <f>+C69</f>
        <v>5434000</v>
      </c>
      <c r="E69" s="397">
        <f t="shared" ref="E69:N69" si="18">+D69</f>
        <v>5434000</v>
      </c>
      <c r="F69" s="397">
        <f t="shared" si="18"/>
        <v>5434000</v>
      </c>
      <c r="G69" s="397">
        <f t="shared" si="18"/>
        <v>5434000</v>
      </c>
      <c r="H69" s="397">
        <f t="shared" si="18"/>
        <v>5434000</v>
      </c>
      <c r="I69" s="397">
        <f t="shared" si="18"/>
        <v>5434000</v>
      </c>
      <c r="J69" s="397">
        <f t="shared" si="18"/>
        <v>5434000</v>
      </c>
      <c r="K69" s="397">
        <f t="shared" si="18"/>
        <v>5434000</v>
      </c>
      <c r="L69" s="397">
        <f t="shared" si="18"/>
        <v>5434000</v>
      </c>
      <c r="M69" s="397">
        <f t="shared" si="18"/>
        <v>5434000</v>
      </c>
      <c r="N69" s="397">
        <f t="shared" si="18"/>
        <v>5434000</v>
      </c>
      <c r="O69" s="150"/>
      <c r="P69" s="150"/>
      <c r="Q69" s="150"/>
      <c r="R69" s="150"/>
      <c r="S69" s="150"/>
      <c r="T69" s="150"/>
      <c r="U69" s="150"/>
      <c r="V69" s="150"/>
      <c r="W69" s="150"/>
    </row>
    <row r="70" spans="1:23" x14ac:dyDescent="0.25">
      <c r="A70" s="151" t="s">
        <v>258</v>
      </c>
      <c r="B70" s="397">
        <v>1780000</v>
      </c>
      <c r="C70" s="397">
        <f t="shared" ref="C70:C73" si="19">+B70*(1+$F$66)</f>
        <v>1860099.9999999998</v>
      </c>
      <c r="D70" s="397">
        <f t="shared" ref="D70:N73" si="20">+C70</f>
        <v>1860099.9999999998</v>
      </c>
      <c r="E70" s="397">
        <f t="shared" si="20"/>
        <v>1860099.9999999998</v>
      </c>
      <c r="F70" s="397">
        <f t="shared" si="20"/>
        <v>1860099.9999999998</v>
      </c>
      <c r="G70" s="397">
        <f t="shared" si="20"/>
        <v>1860099.9999999998</v>
      </c>
      <c r="H70" s="397">
        <f t="shared" si="20"/>
        <v>1860099.9999999998</v>
      </c>
      <c r="I70" s="397">
        <f t="shared" si="20"/>
        <v>1860099.9999999998</v>
      </c>
      <c r="J70" s="397">
        <f t="shared" si="20"/>
        <v>1860099.9999999998</v>
      </c>
      <c r="K70" s="397">
        <f t="shared" si="20"/>
        <v>1860099.9999999998</v>
      </c>
      <c r="L70" s="397">
        <f t="shared" si="20"/>
        <v>1860099.9999999998</v>
      </c>
      <c r="M70" s="397">
        <f t="shared" si="20"/>
        <v>1860099.9999999998</v>
      </c>
      <c r="N70" s="397">
        <f t="shared" si="20"/>
        <v>1860099.9999999998</v>
      </c>
      <c r="O70" s="150"/>
      <c r="P70" s="150"/>
      <c r="Q70" s="150"/>
      <c r="R70" s="150"/>
      <c r="S70" s="150"/>
      <c r="T70" s="150"/>
      <c r="U70" s="150"/>
      <c r="V70" s="150"/>
      <c r="W70" s="150"/>
    </row>
    <row r="71" spans="1:23" x14ac:dyDescent="0.25">
      <c r="A71" s="151" t="s">
        <v>259</v>
      </c>
      <c r="B71" s="397">
        <v>14500000</v>
      </c>
      <c r="C71" s="397">
        <f t="shared" si="19"/>
        <v>15152499.999999998</v>
      </c>
      <c r="D71" s="397">
        <f t="shared" si="20"/>
        <v>15152499.999999998</v>
      </c>
      <c r="E71" s="397">
        <f t="shared" si="20"/>
        <v>15152499.999999998</v>
      </c>
      <c r="F71" s="397">
        <f t="shared" si="20"/>
        <v>15152499.999999998</v>
      </c>
      <c r="G71" s="397">
        <f t="shared" si="20"/>
        <v>15152499.999999998</v>
      </c>
      <c r="H71" s="397">
        <f t="shared" si="20"/>
        <v>15152499.999999998</v>
      </c>
      <c r="I71" s="397">
        <f t="shared" si="20"/>
        <v>15152499.999999998</v>
      </c>
      <c r="J71" s="397">
        <f t="shared" si="20"/>
        <v>15152499.999999998</v>
      </c>
      <c r="K71" s="397">
        <f t="shared" si="20"/>
        <v>15152499.999999998</v>
      </c>
      <c r="L71" s="397">
        <f t="shared" si="20"/>
        <v>15152499.999999998</v>
      </c>
      <c r="M71" s="397">
        <f t="shared" si="20"/>
        <v>15152499.999999998</v>
      </c>
      <c r="N71" s="397">
        <f t="shared" si="20"/>
        <v>15152499.999999998</v>
      </c>
      <c r="O71" s="150"/>
      <c r="P71" s="150"/>
      <c r="Q71" s="150"/>
      <c r="R71" s="150"/>
      <c r="S71" s="150"/>
      <c r="T71" s="150"/>
      <c r="U71" s="150"/>
      <c r="V71" s="150"/>
      <c r="W71" s="150"/>
    </row>
    <row r="72" spans="1:23" x14ac:dyDescent="0.25">
      <c r="A72" s="151" t="s">
        <v>260</v>
      </c>
      <c r="B72" s="397">
        <v>2000000</v>
      </c>
      <c r="C72" s="397">
        <f t="shared" si="19"/>
        <v>2089999.9999999998</v>
      </c>
      <c r="D72" s="397">
        <f t="shared" si="20"/>
        <v>2089999.9999999998</v>
      </c>
      <c r="E72" s="397">
        <f t="shared" si="20"/>
        <v>2089999.9999999998</v>
      </c>
      <c r="F72" s="397">
        <f t="shared" si="20"/>
        <v>2089999.9999999998</v>
      </c>
      <c r="G72" s="397">
        <f t="shared" si="20"/>
        <v>2089999.9999999998</v>
      </c>
      <c r="H72" s="397">
        <f t="shared" si="20"/>
        <v>2089999.9999999998</v>
      </c>
      <c r="I72" s="397">
        <f t="shared" si="20"/>
        <v>2089999.9999999998</v>
      </c>
      <c r="J72" s="397">
        <f t="shared" si="20"/>
        <v>2089999.9999999998</v>
      </c>
      <c r="K72" s="397">
        <f t="shared" si="20"/>
        <v>2089999.9999999998</v>
      </c>
      <c r="L72" s="397">
        <f t="shared" si="20"/>
        <v>2089999.9999999998</v>
      </c>
      <c r="M72" s="397">
        <f t="shared" si="20"/>
        <v>2089999.9999999998</v>
      </c>
      <c r="N72" s="397">
        <f t="shared" si="20"/>
        <v>2089999.9999999998</v>
      </c>
      <c r="O72" s="150"/>
      <c r="P72" s="150"/>
      <c r="Q72" s="150"/>
      <c r="R72" s="150"/>
      <c r="S72" s="150"/>
      <c r="T72" s="150"/>
      <c r="U72" s="150"/>
      <c r="V72" s="150"/>
      <c r="W72" s="150"/>
    </row>
    <row r="73" spans="1:23" x14ac:dyDescent="0.25">
      <c r="A73" s="151" t="s">
        <v>261</v>
      </c>
      <c r="B73" s="397">
        <v>4500000</v>
      </c>
      <c r="C73" s="397">
        <f t="shared" si="19"/>
        <v>4702500</v>
      </c>
      <c r="D73" s="397">
        <f t="shared" si="20"/>
        <v>4702500</v>
      </c>
      <c r="E73" s="397">
        <f t="shared" si="20"/>
        <v>4702500</v>
      </c>
      <c r="F73" s="397">
        <f t="shared" si="20"/>
        <v>4702500</v>
      </c>
      <c r="G73" s="397">
        <f t="shared" si="20"/>
        <v>4702500</v>
      </c>
      <c r="H73" s="397">
        <f t="shared" si="20"/>
        <v>4702500</v>
      </c>
      <c r="I73" s="397">
        <f t="shared" si="20"/>
        <v>4702500</v>
      </c>
      <c r="J73" s="397">
        <f t="shared" si="20"/>
        <v>4702500</v>
      </c>
      <c r="K73" s="397">
        <f t="shared" si="20"/>
        <v>4702500</v>
      </c>
      <c r="L73" s="397">
        <f t="shared" si="20"/>
        <v>4702500</v>
      </c>
      <c r="M73" s="397">
        <f t="shared" si="20"/>
        <v>4702500</v>
      </c>
      <c r="N73" s="397">
        <f t="shared" si="20"/>
        <v>4702500</v>
      </c>
      <c r="O73" s="150"/>
      <c r="P73" s="150"/>
      <c r="Q73" s="150"/>
      <c r="R73" s="150"/>
      <c r="S73" s="150"/>
      <c r="T73" s="150"/>
      <c r="U73" s="150"/>
      <c r="V73" s="150"/>
      <c r="W73" s="150"/>
    </row>
    <row r="74" spans="1:23" x14ac:dyDescent="0.25">
      <c r="A74" s="150"/>
      <c r="B74" s="150"/>
      <c r="C74" s="397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</row>
    <row r="75" spans="1:23" x14ac:dyDescent="0.25">
      <c r="A75" s="150"/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</row>
    <row r="76" spans="1:23" x14ac:dyDescent="0.25">
      <c r="A76" s="150"/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</row>
    <row r="77" spans="1:23" x14ac:dyDescent="0.25">
      <c r="A77" s="150"/>
      <c r="B77" s="150"/>
      <c r="C77" s="151" t="s">
        <v>74</v>
      </c>
      <c r="D77" s="151" t="s">
        <v>75</v>
      </c>
      <c r="E77" s="151" t="s">
        <v>76</v>
      </c>
      <c r="F77" s="151" t="s">
        <v>77</v>
      </c>
      <c r="G77" s="151" t="s">
        <v>78</v>
      </c>
      <c r="H77" s="151" t="s">
        <v>79</v>
      </c>
      <c r="I77" s="151" t="s">
        <v>80</v>
      </c>
      <c r="J77" s="151" t="s">
        <v>81</v>
      </c>
      <c r="K77" s="151" t="s">
        <v>82</v>
      </c>
      <c r="L77" s="151" t="s">
        <v>83</v>
      </c>
      <c r="M77" s="151" t="s">
        <v>84</v>
      </c>
      <c r="N77" s="151" t="s">
        <v>65</v>
      </c>
      <c r="O77" s="150"/>
      <c r="P77" s="150"/>
      <c r="Q77" s="150"/>
      <c r="R77" s="150"/>
      <c r="S77" s="150"/>
      <c r="T77" s="150"/>
      <c r="U77" s="150"/>
      <c r="V77" s="150"/>
      <c r="W77" s="150"/>
    </row>
    <row r="78" spans="1:23" x14ac:dyDescent="0.25">
      <c r="A78" s="150"/>
      <c r="B78" s="150" t="s">
        <v>262</v>
      </c>
      <c r="C78" s="364">
        <f>+E33+E12</f>
        <v>153549000</v>
      </c>
      <c r="D78" s="364">
        <f>+E34+E13</f>
        <v>153693900</v>
      </c>
      <c r="E78" s="364">
        <f>+E14+E35</f>
        <v>150196500</v>
      </c>
      <c r="F78" s="364">
        <f>+E15+E36</f>
        <v>155236500</v>
      </c>
      <c r="G78" s="364">
        <f>+E16+E37</f>
        <v>157815000</v>
      </c>
      <c r="H78" s="364">
        <f>+E17+E38</f>
        <v>157909500</v>
      </c>
      <c r="I78" s="364">
        <f>+E18+E39</f>
        <v>157581000</v>
      </c>
      <c r="J78" s="364">
        <f>+E19+E40</f>
        <v>153994500</v>
      </c>
      <c r="K78" s="364">
        <f>+E20+E41</f>
        <v>157430700</v>
      </c>
      <c r="L78" s="364">
        <f>+E21+E42</f>
        <v>158082300</v>
      </c>
      <c r="M78" s="364">
        <f>+E22+E43</f>
        <v>162832500</v>
      </c>
      <c r="N78" s="364">
        <f>+E23+E44</f>
        <v>167850000</v>
      </c>
      <c r="O78" s="150"/>
      <c r="P78" s="150"/>
      <c r="Q78" s="150"/>
      <c r="R78" s="150"/>
      <c r="S78" s="150"/>
      <c r="T78" s="150"/>
      <c r="U78" s="150"/>
      <c r="V78" s="150"/>
      <c r="W78" s="150"/>
    </row>
    <row r="79" spans="1:23" x14ac:dyDescent="0.25">
      <c r="A79" s="150"/>
      <c r="B79" s="150" t="s">
        <v>263</v>
      </c>
      <c r="C79" s="364">
        <f>+F12+F33</f>
        <v>0</v>
      </c>
      <c r="D79" s="364">
        <f>+F13+F34</f>
        <v>187671000</v>
      </c>
      <c r="E79" s="364">
        <f>+F14+F35</f>
        <v>187848100</v>
      </c>
      <c r="F79" s="364">
        <f>+F15+F36</f>
        <v>183573500</v>
      </c>
      <c r="G79" s="364">
        <f>+F16+F37</f>
        <v>189733500</v>
      </c>
      <c r="H79" s="364">
        <f>+F17+F38</f>
        <v>192885000</v>
      </c>
      <c r="I79" s="364">
        <f>+F18+F39</f>
        <v>193000500</v>
      </c>
      <c r="J79" s="364">
        <f>+F19+F40</f>
        <v>192599000</v>
      </c>
      <c r="K79" s="364">
        <f>+F20+F41</f>
        <v>188215500</v>
      </c>
      <c r="L79" s="364">
        <f>+F21+F42</f>
        <v>192415300</v>
      </c>
      <c r="M79" s="364">
        <f>+F22+F43</f>
        <v>193211700</v>
      </c>
      <c r="N79" s="364">
        <f>+F23+F44</f>
        <v>199017500</v>
      </c>
      <c r="O79" s="150"/>
      <c r="P79" s="150"/>
      <c r="Q79" s="150"/>
      <c r="R79" s="150"/>
      <c r="S79" s="150"/>
      <c r="T79" s="150"/>
      <c r="U79" s="150"/>
      <c r="V79" s="150"/>
      <c r="W79" s="150"/>
    </row>
    <row r="80" spans="1:23" x14ac:dyDescent="0.25">
      <c r="A80" s="150"/>
      <c r="B80" s="407" t="s">
        <v>264</v>
      </c>
      <c r="C80" s="408">
        <f>SUM(C78:C79)</f>
        <v>153549000</v>
      </c>
      <c r="D80" s="408">
        <f t="shared" ref="D80:N80" si="21">SUM(D78:D79)</f>
        <v>341364900</v>
      </c>
      <c r="E80" s="408">
        <f t="shared" si="21"/>
        <v>338044600</v>
      </c>
      <c r="F80" s="408">
        <f t="shared" si="21"/>
        <v>338810000</v>
      </c>
      <c r="G80" s="408">
        <f t="shared" si="21"/>
        <v>347548500</v>
      </c>
      <c r="H80" s="408">
        <f t="shared" si="21"/>
        <v>350794500</v>
      </c>
      <c r="I80" s="408">
        <f t="shared" si="21"/>
        <v>350581500</v>
      </c>
      <c r="J80" s="408">
        <f t="shared" si="21"/>
        <v>346593500</v>
      </c>
      <c r="K80" s="408">
        <f t="shared" si="21"/>
        <v>345646200</v>
      </c>
      <c r="L80" s="408">
        <f t="shared" si="21"/>
        <v>350497600</v>
      </c>
      <c r="M80" s="408">
        <f t="shared" si="21"/>
        <v>356044200</v>
      </c>
      <c r="N80" s="408">
        <f t="shared" si="21"/>
        <v>366867500</v>
      </c>
      <c r="O80" s="150"/>
      <c r="P80" s="150"/>
      <c r="Q80" s="150"/>
      <c r="R80" s="150"/>
      <c r="S80" s="150"/>
      <c r="T80" s="150"/>
      <c r="U80" s="150"/>
      <c r="V80" s="150"/>
      <c r="W80" s="150"/>
    </row>
    <row r="81" spans="1:23" x14ac:dyDescent="0.25">
      <c r="A81" s="150"/>
      <c r="B81" s="150"/>
      <c r="C81" s="15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</row>
    <row r="82" spans="1:23" ht="15.75" x14ac:dyDescent="0.25">
      <c r="A82" s="150"/>
      <c r="B82" s="409" t="s">
        <v>265</v>
      </c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</row>
    <row r="83" spans="1:23" x14ac:dyDescent="0.25">
      <c r="A83" s="613" t="s">
        <v>266</v>
      </c>
      <c r="B83" s="150" t="s">
        <v>267</v>
      </c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</row>
    <row r="84" spans="1:23" x14ac:dyDescent="0.25">
      <c r="A84" s="613"/>
      <c r="B84" s="150" t="s">
        <v>268</v>
      </c>
      <c r="C84" s="150"/>
      <c r="D84" s="150"/>
      <c r="E84" s="364">
        <f>+P14+P35</f>
        <v>174079500</v>
      </c>
      <c r="F84" s="364">
        <f>+P15+P36</f>
        <v>174240500</v>
      </c>
      <c r="G84" s="364">
        <f>+P16+P37</f>
        <v>170292000</v>
      </c>
      <c r="H84" s="364">
        <f>+P17+P38</f>
        <v>175954500</v>
      </c>
      <c r="I84" s="364">
        <f>+P18+P39</f>
        <v>178882000</v>
      </c>
      <c r="J84" s="364">
        <f>+P19+P40</f>
        <v>179023500</v>
      </c>
      <c r="K84" s="364">
        <f>+P41+P20</f>
        <v>178721000</v>
      </c>
      <c r="L84" s="364">
        <f>+P21+P42</f>
        <v>174574500</v>
      </c>
      <c r="M84" s="364">
        <f>+P22+P43</f>
        <v>178554000</v>
      </c>
      <c r="N84" s="364">
        <f>+P23+P44</f>
        <v>179278000</v>
      </c>
      <c r="O84" s="150"/>
      <c r="P84" s="150"/>
      <c r="Q84" s="150"/>
      <c r="R84" s="150"/>
      <c r="S84" s="150"/>
      <c r="T84" s="150"/>
      <c r="U84" s="150"/>
      <c r="V84" s="150"/>
      <c r="W84" s="150"/>
    </row>
    <row r="85" spans="1:23" ht="18.75" x14ac:dyDescent="0.3">
      <c r="A85" s="613"/>
      <c r="B85" s="410" t="s">
        <v>269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</row>
    <row r="86" spans="1:23" x14ac:dyDescent="0.25">
      <c r="A86" s="613"/>
      <c r="B86" s="150" t="s">
        <v>270</v>
      </c>
      <c r="C86" s="364">
        <f>+C69</f>
        <v>5434000</v>
      </c>
      <c r="D86" s="364">
        <f t="shared" ref="D86:N87" si="22">+D69</f>
        <v>5434000</v>
      </c>
      <c r="E86" s="364">
        <f t="shared" si="22"/>
        <v>5434000</v>
      </c>
      <c r="F86" s="364">
        <f t="shared" si="22"/>
        <v>5434000</v>
      </c>
      <c r="G86" s="364">
        <f t="shared" si="22"/>
        <v>5434000</v>
      </c>
      <c r="H86" s="364">
        <f t="shared" si="22"/>
        <v>5434000</v>
      </c>
      <c r="I86" s="364">
        <f t="shared" si="22"/>
        <v>5434000</v>
      </c>
      <c r="J86" s="364">
        <f t="shared" si="22"/>
        <v>5434000</v>
      </c>
      <c r="K86" s="364">
        <f t="shared" si="22"/>
        <v>5434000</v>
      </c>
      <c r="L86" s="364">
        <f t="shared" si="22"/>
        <v>5434000</v>
      </c>
      <c r="M86" s="364">
        <f t="shared" si="22"/>
        <v>5434000</v>
      </c>
      <c r="N86" s="364">
        <f t="shared" si="22"/>
        <v>5434000</v>
      </c>
      <c r="O86" s="150"/>
      <c r="P86" s="150"/>
      <c r="Q86" s="150"/>
      <c r="R86" s="150"/>
      <c r="S86" s="150"/>
      <c r="T86" s="150"/>
      <c r="U86" s="150"/>
      <c r="V86" s="150"/>
      <c r="W86" s="150"/>
    </row>
    <row r="87" spans="1:23" x14ac:dyDescent="0.25">
      <c r="A87" s="613"/>
      <c r="B87" s="150" t="s">
        <v>258</v>
      </c>
      <c r="C87" s="364">
        <f>+C70</f>
        <v>1860099.9999999998</v>
      </c>
      <c r="D87" s="364">
        <f t="shared" si="22"/>
        <v>1860099.9999999998</v>
      </c>
      <c r="E87" s="364">
        <f t="shared" si="22"/>
        <v>1860099.9999999998</v>
      </c>
      <c r="F87" s="364">
        <f t="shared" si="22"/>
        <v>1860099.9999999998</v>
      </c>
      <c r="G87" s="364">
        <f t="shared" si="22"/>
        <v>1860099.9999999998</v>
      </c>
      <c r="H87" s="364">
        <f t="shared" si="22"/>
        <v>1860099.9999999998</v>
      </c>
      <c r="I87" s="364">
        <f t="shared" si="22"/>
        <v>1860099.9999999998</v>
      </c>
      <c r="J87" s="364">
        <f t="shared" si="22"/>
        <v>1860099.9999999998</v>
      </c>
      <c r="K87" s="364">
        <f t="shared" si="22"/>
        <v>1860099.9999999998</v>
      </c>
      <c r="L87" s="364">
        <f t="shared" si="22"/>
        <v>1860099.9999999998</v>
      </c>
      <c r="M87" s="364">
        <f t="shared" si="22"/>
        <v>1860099.9999999998</v>
      </c>
      <c r="N87" s="364">
        <f t="shared" si="22"/>
        <v>1860099.9999999998</v>
      </c>
      <c r="O87" s="150"/>
      <c r="P87" s="150"/>
      <c r="Q87" s="150"/>
      <c r="R87" s="150"/>
      <c r="S87" s="150"/>
      <c r="T87" s="150"/>
      <c r="U87" s="150"/>
      <c r="V87" s="150"/>
      <c r="W87" s="150"/>
    </row>
    <row r="88" spans="1:23" x14ac:dyDescent="0.25">
      <c r="A88" s="613"/>
      <c r="B88" s="150" t="s">
        <v>261</v>
      </c>
      <c r="C88" s="364">
        <f>+C73</f>
        <v>4702500</v>
      </c>
      <c r="D88" s="364">
        <f t="shared" ref="D88:N88" si="23">+D73</f>
        <v>4702500</v>
      </c>
      <c r="E88" s="364">
        <f t="shared" si="23"/>
        <v>4702500</v>
      </c>
      <c r="F88" s="364">
        <f t="shared" si="23"/>
        <v>4702500</v>
      </c>
      <c r="G88" s="364">
        <f t="shared" si="23"/>
        <v>4702500</v>
      </c>
      <c r="H88" s="364">
        <f t="shared" si="23"/>
        <v>4702500</v>
      </c>
      <c r="I88" s="364">
        <f t="shared" si="23"/>
        <v>4702500</v>
      </c>
      <c r="J88" s="364">
        <f t="shared" si="23"/>
        <v>4702500</v>
      </c>
      <c r="K88" s="364">
        <f t="shared" si="23"/>
        <v>4702500</v>
      </c>
      <c r="L88" s="364">
        <f t="shared" si="23"/>
        <v>4702500</v>
      </c>
      <c r="M88" s="364">
        <f t="shared" si="23"/>
        <v>4702500</v>
      </c>
      <c r="N88" s="364">
        <f t="shared" si="23"/>
        <v>4702500</v>
      </c>
      <c r="O88" s="150"/>
      <c r="P88" s="150"/>
      <c r="Q88" s="150"/>
      <c r="R88" s="150"/>
      <c r="S88" s="150"/>
      <c r="T88" s="150"/>
      <c r="U88" s="150"/>
      <c r="V88" s="150"/>
      <c r="W88" s="150"/>
    </row>
    <row r="89" spans="1:23" x14ac:dyDescent="0.25">
      <c r="A89" s="613"/>
      <c r="B89" s="150" t="s">
        <v>271</v>
      </c>
      <c r="C89" s="360">
        <f>2.5%*(D12+D33)</f>
        <v>8530500</v>
      </c>
      <c r="D89" s="364">
        <f>2.5%*(D13+D34)</f>
        <v>8538550</v>
      </c>
      <c r="E89" s="364">
        <f>2.5%*(D14+D35)</f>
        <v>8344250</v>
      </c>
      <c r="F89" s="364">
        <f>2.5%*(D15+D36)</f>
        <v>8624250</v>
      </c>
      <c r="G89" s="364">
        <f>2.5%*(D16+D37)</f>
        <v>8767500</v>
      </c>
      <c r="H89" s="364">
        <f>2.5%*(D17+D38)</f>
        <v>8772750</v>
      </c>
      <c r="I89" s="364">
        <f>2.5%*(D18+D39)</f>
        <v>8754500</v>
      </c>
      <c r="J89" s="364">
        <f>2.5%*(D19+D40)</f>
        <v>8555250</v>
      </c>
      <c r="K89" s="364">
        <f>2.5%*(D20+D41)</f>
        <v>8746150</v>
      </c>
      <c r="L89" s="364">
        <f>2.5%*(D21+D42)</f>
        <v>8782350</v>
      </c>
      <c r="M89" s="364">
        <f>2.5%*(D22+D43)</f>
        <v>9046250</v>
      </c>
      <c r="N89" s="364">
        <f>2.5%*(D23+D44)</f>
        <v>9325000</v>
      </c>
      <c r="O89" s="150"/>
      <c r="P89" s="150"/>
      <c r="Q89" s="150"/>
      <c r="R89" s="150"/>
      <c r="S89" s="150"/>
      <c r="T89" s="150"/>
      <c r="U89" s="150"/>
      <c r="V89" s="150"/>
      <c r="W89" s="150"/>
    </row>
    <row r="90" spans="1:23" x14ac:dyDescent="0.25">
      <c r="A90" s="613"/>
      <c r="B90" s="150" t="s">
        <v>272</v>
      </c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</row>
    <row r="91" spans="1:23" ht="18.75" x14ac:dyDescent="0.3">
      <c r="A91" s="613"/>
      <c r="B91" s="410" t="s">
        <v>273</v>
      </c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150"/>
    </row>
    <row r="92" spans="1:23" x14ac:dyDescent="0.25">
      <c r="A92" s="613"/>
      <c r="B92" s="150" t="s">
        <v>274</v>
      </c>
      <c r="C92" s="364">
        <f>+C71</f>
        <v>15152499.999999998</v>
      </c>
      <c r="D92" s="364">
        <f t="shared" ref="D92:N93" si="24">+D71</f>
        <v>15152499.999999998</v>
      </c>
      <c r="E92" s="364">
        <f t="shared" si="24"/>
        <v>15152499.999999998</v>
      </c>
      <c r="F92" s="364">
        <f t="shared" si="24"/>
        <v>15152499.999999998</v>
      </c>
      <c r="G92" s="364">
        <f t="shared" si="24"/>
        <v>15152499.999999998</v>
      </c>
      <c r="H92" s="364">
        <f t="shared" si="24"/>
        <v>15152499.999999998</v>
      </c>
      <c r="I92" s="364">
        <f t="shared" si="24"/>
        <v>15152499.999999998</v>
      </c>
      <c r="J92" s="364">
        <f t="shared" si="24"/>
        <v>15152499.999999998</v>
      </c>
      <c r="K92" s="364">
        <f t="shared" si="24"/>
        <v>15152499.999999998</v>
      </c>
      <c r="L92" s="364">
        <f t="shared" si="24"/>
        <v>15152499.999999998</v>
      </c>
      <c r="M92" s="364">
        <f t="shared" si="24"/>
        <v>15152499.999999998</v>
      </c>
      <c r="N92" s="364">
        <f t="shared" si="24"/>
        <v>15152499.999999998</v>
      </c>
      <c r="O92" s="150"/>
      <c r="P92" s="150"/>
      <c r="Q92" s="150"/>
      <c r="R92" s="150"/>
      <c r="S92" s="150"/>
      <c r="T92" s="150"/>
      <c r="U92" s="150"/>
      <c r="V92" s="150"/>
      <c r="W92" s="150"/>
    </row>
    <row r="93" spans="1:23" x14ac:dyDescent="0.25">
      <c r="A93" s="613"/>
      <c r="B93" s="150" t="s">
        <v>275</v>
      </c>
      <c r="C93" s="364">
        <f>+C72</f>
        <v>2089999.9999999998</v>
      </c>
      <c r="D93" s="364">
        <f t="shared" si="24"/>
        <v>2089999.9999999998</v>
      </c>
      <c r="E93" s="364">
        <f t="shared" si="24"/>
        <v>2089999.9999999998</v>
      </c>
      <c r="F93" s="364">
        <f t="shared" si="24"/>
        <v>2089999.9999999998</v>
      </c>
      <c r="G93" s="364">
        <f t="shared" si="24"/>
        <v>2089999.9999999998</v>
      </c>
      <c r="H93" s="364">
        <f t="shared" si="24"/>
        <v>2089999.9999999998</v>
      </c>
      <c r="I93" s="364">
        <f t="shared" si="24"/>
        <v>2089999.9999999998</v>
      </c>
      <c r="J93" s="364">
        <f t="shared" si="24"/>
        <v>2089999.9999999998</v>
      </c>
      <c r="K93" s="364">
        <f t="shared" si="24"/>
        <v>2089999.9999999998</v>
      </c>
      <c r="L93" s="364">
        <f t="shared" si="24"/>
        <v>2089999.9999999998</v>
      </c>
      <c r="M93" s="364">
        <f t="shared" si="24"/>
        <v>2089999.9999999998</v>
      </c>
      <c r="N93" s="364">
        <f t="shared" si="24"/>
        <v>2089999.9999999998</v>
      </c>
      <c r="O93" s="150"/>
      <c r="P93" s="150"/>
      <c r="Q93" s="150"/>
      <c r="R93" s="150"/>
      <c r="S93" s="150"/>
      <c r="T93" s="150"/>
      <c r="U93" s="150"/>
      <c r="V93" s="150"/>
      <c r="W93" s="150"/>
    </row>
    <row r="94" spans="1:23" x14ac:dyDescent="0.25">
      <c r="A94" s="613"/>
      <c r="B94" s="150" t="s">
        <v>276</v>
      </c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50"/>
      <c r="P94" s="150"/>
      <c r="Q94" s="150"/>
      <c r="R94" s="150"/>
      <c r="S94" s="150"/>
      <c r="T94" s="150"/>
      <c r="U94" s="150"/>
      <c r="V94" s="150"/>
      <c r="W94" s="150"/>
    </row>
    <row r="95" spans="1:23" x14ac:dyDescent="0.25">
      <c r="A95" s="150"/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  <c r="W95" s="150"/>
    </row>
    <row r="96" spans="1:23" x14ac:dyDescent="0.25">
      <c r="A96" s="150"/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</row>
    <row r="97" spans="1:23" x14ac:dyDescent="0.25">
      <c r="A97" s="150"/>
      <c r="B97" s="150" t="s">
        <v>277</v>
      </c>
      <c r="C97" s="411">
        <f>+S41</f>
        <v>4049999.9999999995</v>
      </c>
      <c r="D97" s="411">
        <f>+S42</f>
        <v>3898064.0966337435</v>
      </c>
      <c r="E97" s="411">
        <f>+S43</f>
        <v>3744760.7701371908</v>
      </c>
      <c r="F97" s="411">
        <f>+S44</f>
        <v>3590077.7137021697</v>
      </c>
      <c r="G97" s="411">
        <f>+S45</f>
        <v>3434002.5097592324</v>
      </c>
      <c r="H97" s="411">
        <f>+S46</f>
        <v>3276522.6289808098</v>
      </c>
      <c r="I97" s="411">
        <f>+S47</f>
        <v>3117625.4292753809</v>
      </c>
      <c r="J97" s="411">
        <f>+S48</f>
        <v>2957298.1547726034</v>
      </c>
      <c r="K97" s="411">
        <f>+S49</f>
        <v>2795527.9347993005</v>
      </c>
      <c r="L97" s="411">
        <f>+S50</f>
        <v>2632301.782846238</v>
      </c>
      <c r="M97" s="411">
        <f>+S51</f>
        <v>2467606.5955255982</v>
      </c>
      <c r="N97" s="411">
        <f>+S52</f>
        <v>2301429.1515190722</v>
      </c>
      <c r="O97" s="150"/>
      <c r="P97" s="150"/>
      <c r="Q97" s="150"/>
      <c r="R97" s="150"/>
      <c r="S97" s="150"/>
      <c r="T97" s="150"/>
      <c r="U97" s="150"/>
      <c r="V97" s="150"/>
      <c r="W97" s="150"/>
    </row>
    <row r="98" spans="1:23" x14ac:dyDescent="0.25">
      <c r="A98" s="150"/>
      <c r="B98" s="150" t="s">
        <v>278</v>
      </c>
      <c r="C98" s="411">
        <f>+U41</f>
        <v>16881767.040695127</v>
      </c>
      <c r="D98" s="411">
        <f>+U42</f>
        <v>17033702.944061384</v>
      </c>
      <c r="E98" s="411">
        <f>+U43</f>
        <v>17187006.270557936</v>
      </c>
      <c r="F98" s="411">
        <f>+U44</f>
        <v>17341689.326992959</v>
      </c>
      <c r="G98" s="411">
        <f>+U45</f>
        <v>17497764.530935895</v>
      </c>
      <c r="H98" s="411">
        <f>+U46</f>
        <v>17655244.411714315</v>
      </c>
      <c r="I98" s="411">
        <f>+U47</f>
        <v>17814141.611419745</v>
      </c>
      <c r="J98" s="411">
        <f>+U48</f>
        <v>17974468.885922525</v>
      </c>
      <c r="K98" s="411">
        <f>+U49</f>
        <v>18136239.105895825</v>
      </c>
      <c r="L98" s="411">
        <f>+U50</f>
        <v>18299465.257848889</v>
      </c>
      <c r="M98" s="411">
        <f>+U51</f>
        <v>18464160.445169531</v>
      </c>
      <c r="N98" s="411">
        <f>+U52</f>
        <v>18630337.889176056</v>
      </c>
      <c r="O98" s="150"/>
      <c r="P98" s="150"/>
      <c r="Q98" s="150"/>
      <c r="R98" s="150"/>
      <c r="S98" s="150"/>
      <c r="T98" s="150"/>
      <c r="U98" s="150"/>
      <c r="V98" s="150"/>
      <c r="W98" s="150"/>
    </row>
    <row r="99" spans="1:23" x14ac:dyDescent="0.25">
      <c r="A99" s="150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</row>
    <row r="100" spans="1:23" x14ac:dyDescent="0.25">
      <c r="A100" s="150"/>
      <c r="B100" s="150" t="s">
        <v>279</v>
      </c>
      <c r="C100" s="364">
        <f>SUM(C86:C99)</f>
        <v>58701367.040695131</v>
      </c>
      <c r="D100" s="364">
        <f t="shared" ref="D100:N100" si="25">SUM(D86:D99)</f>
        <v>58709417.040695131</v>
      </c>
      <c r="E100" s="364">
        <f t="shared" si="25"/>
        <v>58515117.040695131</v>
      </c>
      <c r="F100" s="364">
        <f t="shared" si="25"/>
        <v>58795117.040695131</v>
      </c>
      <c r="G100" s="364">
        <f t="shared" si="25"/>
        <v>58938367.040695131</v>
      </c>
      <c r="H100" s="364">
        <f t="shared" si="25"/>
        <v>58943617.040695123</v>
      </c>
      <c r="I100" s="364">
        <f t="shared" si="25"/>
        <v>58925367.040695123</v>
      </c>
      <c r="J100" s="364">
        <f t="shared" si="25"/>
        <v>58726117.040695131</v>
      </c>
      <c r="K100" s="364">
        <f t="shared" si="25"/>
        <v>58917017.040695123</v>
      </c>
      <c r="L100" s="364">
        <f t="shared" si="25"/>
        <v>58953217.040695123</v>
      </c>
      <c r="M100" s="364">
        <f t="shared" si="25"/>
        <v>59217117.040695131</v>
      </c>
      <c r="N100" s="364">
        <f t="shared" si="25"/>
        <v>59495867.040695131</v>
      </c>
      <c r="O100" s="150"/>
      <c r="P100" s="150"/>
      <c r="Q100" s="150"/>
      <c r="R100" s="150"/>
      <c r="S100" s="150"/>
      <c r="T100" s="150"/>
      <c r="U100" s="150"/>
      <c r="V100" s="150"/>
      <c r="W100" s="150"/>
    </row>
    <row r="101" spans="1:23" x14ac:dyDescent="0.25">
      <c r="A101" s="150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</row>
    <row r="102" spans="1:23" x14ac:dyDescent="0.25">
      <c r="A102" s="150"/>
      <c r="B102" s="150" t="s">
        <v>280</v>
      </c>
      <c r="C102" s="364">
        <f>+C80-C100</f>
        <v>94847632.959304869</v>
      </c>
      <c r="D102" s="364">
        <f t="shared" ref="D102:N102" si="26">+D80-D100</f>
        <v>282655482.95930487</v>
      </c>
      <c r="E102" s="364">
        <f t="shared" si="26"/>
        <v>279529482.95930487</v>
      </c>
      <c r="F102" s="364">
        <f t="shared" si="26"/>
        <v>280014882.95930487</v>
      </c>
      <c r="G102" s="364">
        <f t="shared" si="26"/>
        <v>288610132.95930487</v>
      </c>
      <c r="H102" s="364">
        <f t="shared" si="26"/>
        <v>291850882.95930487</v>
      </c>
      <c r="I102" s="364">
        <f t="shared" si="26"/>
        <v>291656132.95930487</v>
      </c>
      <c r="J102" s="364">
        <f t="shared" si="26"/>
        <v>287867382.95930487</v>
      </c>
      <c r="K102" s="364">
        <f t="shared" si="26"/>
        <v>286729182.95930487</v>
      </c>
      <c r="L102" s="364">
        <f t="shared" si="26"/>
        <v>291544382.95930487</v>
      </c>
      <c r="M102" s="364">
        <f t="shared" si="26"/>
        <v>296827082.95930487</v>
      </c>
      <c r="N102" s="364">
        <f t="shared" si="26"/>
        <v>307371632.95930487</v>
      </c>
      <c r="O102" s="150"/>
      <c r="P102" s="150"/>
      <c r="Q102" s="150"/>
      <c r="R102" s="150"/>
      <c r="S102" s="150"/>
      <c r="T102" s="150"/>
      <c r="U102" s="150"/>
      <c r="V102" s="150"/>
      <c r="W102" s="150"/>
    </row>
    <row r="103" spans="1:23" x14ac:dyDescent="0.25">
      <c r="A103" s="150"/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</row>
    <row r="104" spans="1:23" x14ac:dyDescent="0.25">
      <c r="A104" s="150"/>
      <c r="B104" s="150"/>
      <c r="C104" s="150"/>
      <c r="D104" s="150"/>
      <c r="E104" s="150"/>
      <c r="F104" s="150"/>
      <c r="G104" s="150"/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</row>
    <row r="105" spans="1:23" x14ac:dyDescent="0.25">
      <c r="A105" s="150"/>
      <c r="B105" s="150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</row>
    <row r="106" spans="1:23" x14ac:dyDescent="0.25">
      <c r="A106" s="150"/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</row>
    <row r="107" spans="1:23" x14ac:dyDescent="0.25">
      <c r="A107" s="150"/>
      <c r="B107" s="150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</row>
    <row r="108" spans="1:23" x14ac:dyDescent="0.25">
      <c r="A108" s="150"/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</row>
    <row r="109" spans="1:23" x14ac:dyDescent="0.25">
      <c r="A109" s="150"/>
      <c r="B109" s="150"/>
      <c r="C109" s="150"/>
      <c r="D109" s="150"/>
      <c r="E109" s="150"/>
      <c r="F109" s="150"/>
      <c r="G109" s="150"/>
      <c r="H109" s="150"/>
      <c r="I109" s="150"/>
      <c r="J109" s="150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</row>
    <row r="110" spans="1:23" x14ac:dyDescent="0.25">
      <c r="A110" s="150"/>
      <c r="B110" s="150"/>
      <c r="C110" s="150"/>
      <c r="D110" s="150"/>
      <c r="E110" s="150"/>
      <c r="F110" s="150"/>
      <c r="G110" s="150"/>
      <c r="H110" s="150"/>
      <c r="I110" s="150"/>
      <c r="J110" s="150"/>
      <c r="K110" s="150"/>
      <c r="L110" s="150"/>
      <c r="M110" s="150"/>
      <c r="N110" s="150"/>
      <c r="O110" s="150"/>
      <c r="P110" s="150"/>
      <c r="Q110" s="150"/>
      <c r="R110" s="150"/>
      <c r="S110" s="150"/>
      <c r="T110" s="150"/>
      <c r="U110" s="150"/>
      <c r="V110" s="150"/>
      <c r="W110" s="150"/>
    </row>
  </sheetData>
  <mergeCells count="9">
    <mergeCell ref="A30:F30"/>
    <mergeCell ref="K30:P30"/>
    <mergeCell ref="A83:A94"/>
    <mergeCell ref="A8:F8"/>
    <mergeCell ref="K8:P8"/>
    <mergeCell ref="A9:F9"/>
    <mergeCell ref="K9:P9"/>
    <mergeCell ref="A29:F29"/>
    <mergeCell ref="K29:P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6BF4-7636-42B2-86E9-862F97AE75BC}">
  <dimension ref="A1:AX160"/>
  <sheetViews>
    <sheetView topLeftCell="A42" zoomScale="60" zoomScaleNormal="60" workbookViewId="0">
      <selection activeCell="I54" sqref="I54"/>
    </sheetView>
  </sheetViews>
  <sheetFormatPr baseColWidth="10" defaultRowHeight="15" x14ac:dyDescent="0.25"/>
  <cols>
    <col min="1" max="1" width="11.42578125" style="150"/>
    <col min="2" max="2" width="23.7109375" customWidth="1"/>
    <col min="3" max="3" width="35.7109375" customWidth="1"/>
    <col min="4" max="4" width="20.7109375" customWidth="1"/>
    <col min="5" max="5" width="18.85546875" customWidth="1"/>
    <col min="6" max="6" width="19.5703125" customWidth="1"/>
    <col min="7" max="7" width="21.140625" customWidth="1"/>
    <col min="8" max="8" width="18.85546875" customWidth="1"/>
    <col min="10" max="10" width="15.85546875" customWidth="1"/>
    <col min="11" max="11" width="33.85546875" customWidth="1"/>
    <col min="16" max="16" width="19" customWidth="1"/>
    <col min="17" max="17" width="21" customWidth="1"/>
    <col min="18" max="18" width="19" customWidth="1"/>
    <col min="19" max="19" width="19.140625" customWidth="1"/>
    <col min="20" max="20" width="18" customWidth="1"/>
    <col min="21" max="21" width="20.5703125" customWidth="1"/>
    <col min="22" max="22" width="19" customWidth="1"/>
    <col min="24" max="24" width="16" customWidth="1"/>
    <col min="25" max="25" width="23.7109375" customWidth="1"/>
    <col min="30" max="30" width="22" customWidth="1"/>
    <col min="31" max="31" width="32.5703125" customWidth="1"/>
    <col min="32" max="32" width="20.85546875" customWidth="1"/>
    <col min="33" max="33" width="19.140625" customWidth="1"/>
    <col min="34" max="34" width="19.7109375" customWidth="1"/>
    <col min="35" max="35" width="18.140625" customWidth="1"/>
    <col min="36" max="36" width="22.140625" customWidth="1"/>
    <col min="38" max="38" width="17.5703125" customWidth="1"/>
    <col min="39" max="39" width="24.42578125" customWidth="1"/>
  </cols>
  <sheetData>
    <row r="1" spans="1:43" ht="12.75" customHeight="1" x14ac:dyDescent="0.25">
      <c r="B1" s="15"/>
      <c r="C1" s="156"/>
      <c r="O1" s="388"/>
      <c r="P1" s="89" t="s">
        <v>193</v>
      </c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89" t="s">
        <v>193</v>
      </c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</row>
    <row r="2" spans="1:43" s="472" customFormat="1" ht="43.5" customHeight="1" x14ac:dyDescent="0.5">
      <c r="A2" s="529" t="s">
        <v>0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29"/>
      <c r="AE2" s="529"/>
      <c r="AF2" s="529"/>
      <c r="AG2" s="529"/>
      <c r="AH2" s="529"/>
      <c r="AI2" s="529"/>
      <c r="AJ2" s="529"/>
      <c r="AK2" s="529"/>
      <c r="AL2" s="529"/>
    </row>
    <row r="3" spans="1:43" s="150" customFormat="1" ht="12.75" customHeight="1" thickBot="1" x14ac:dyDescent="0.3">
      <c r="B3" s="140"/>
      <c r="C3" s="156"/>
      <c r="O3" s="388"/>
      <c r="P3" s="140"/>
      <c r="AD3" s="140"/>
    </row>
    <row r="4" spans="1:43" ht="15.75" thickBot="1" x14ac:dyDescent="0.3">
      <c r="C4" s="527" t="s">
        <v>15</v>
      </c>
      <c r="D4" s="528"/>
      <c r="E4" s="117"/>
      <c r="F4" s="117"/>
      <c r="G4" s="117"/>
      <c r="H4" s="117"/>
      <c r="I4" s="49"/>
      <c r="J4" s="49"/>
      <c r="K4" s="49"/>
      <c r="L4" s="49"/>
      <c r="O4" s="388"/>
      <c r="P4" s="63"/>
      <c r="Q4" s="63"/>
      <c r="R4" s="68" t="s">
        <v>281</v>
      </c>
      <c r="S4" s="63"/>
      <c r="T4" s="63"/>
      <c r="U4" s="63"/>
      <c r="V4" s="63"/>
      <c r="W4" s="49"/>
      <c r="X4" s="49"/>
      <c r="Y4" s="49"/>
      <c r="Z4" s="49"/>
      <c r="AA4" s="63"/>
      <c r="AB4" s="63"/>
      <c r="AC4" s="63"/>
      <c r="AD4" s="63"/>
      <c r="AE4" s="63"/>
      <c r="AF4" s="508" t="s">
        <v>282</v>
      </c>
      <c r="AG4" s="63"/>
      <c r="AH4" s="63"/>
      <c r="AI4" s="63"/>
      <c r="AJ4" s="63"/>
      <c r="AK4" s="49"/>
      <c r="AL4" s="49"/>
      <c r="AM4" s="49"/>
      <c r="AN4" s="49"/>
      <c r="AO4" s="63"/>
      <c r="AP4" s="63"/>
      <c r="AQ4" s="63"/>
    </row>
    <row r="5" spans="1:43" ht="15.75" thickBot="1" x14ac:dyDescent="0.3">
      <c r="C5" s="448" t="s">
        <v>1</v>
      </c>
      <c r="D5" s="449" t="s">
        <v>2</v>
      </c>
      <c r="E5" s="450" t="s">
        <v>3</v>
      </c>
      <c r="F5" s="450" t="s">
        <v>4</v>
      </c>
      <c r="G5" s="450" t="s">
        <v>5</v>
      </c>
      <c r="H5" s="451" t="s">
        <v>6</v>
      </c>
      <c r="I5" s="49"/>
      <c r="J5" s="49"/>
      <c r="K5" s="49"/>
      <c r="L5" s="49"/>
      <c r="O5" s="388"/>
      <c r="P5" s="63"/>
      <c r="Q5" s="68" t="s">
        <v>1</v>
      </c>
      <c r="R5" s="68" t="s">
        <v>2</v>
      </c>
      <c r="S5" s="68" t="s">
        <v>3</v>
      </c>
      <c r="T5" s="68" t="s">
        <v>4</v>
      </c>
      <c r="U5" s="68" t="s">
        <v>5</v>
      </c>
      <c r="V5" s="68" t="s">
        <v>6</v>
      </c>
      <c r="W5" s="49"/>
      <c r="X5" s="49"/>
      <c r="Y5" s="49"/>
      <c r="Z5" s="49"/>
      <c r="AA5" s="63"/>
      <c r="AB5" s="63"/>
      <c r="AC5" s="63"/>
      <c r="AD5" s="63"/>
      <c r="AE5" s="508" t="s">
        <v>1</v>
      </c>
      <c r="AF5" s="508" t="s">
        <v>2</v>
      </c>
      <c r="AG5" s="508" t="s">
        <v>3</v>
      </c>
      <c r="AH5" s="508" t="s">
        <v>4</v>
      </c>
      <c r="AI5" s="508" t="s">
        <v>5</v>
      </c>
      <c r="AJ5" s="508" t="s">
        <v>6</v>
      </c>
      <c r="AK5" s="49"/>
      <c r="AL5" s="49"/>
      <c r="AM5" s="49"/>
      <c r="AN5" s="49"/>
      <c r="AO5" s="63"/>
      <c r="AP5" s="63"/>
      <c r="AQ5" s="63"/>
    </row>
    <row r="6" spans="1:43" x14ac:dyDescent="0.25">
      <c r="C6" s="417">
        <v>1</v>
      </c>
      <c r="D6" s="102">
        <v>5010</v>
      </c>
      <c r="E6" s="102">
        <f>+C6*D6</f>
        <v>5010</v>
      </c>
      <c r="F6" s="102">
        <f>+C6^2</f>
        <v>1</v>
      </c>
      <c r="G6" s="416">
        <f>+$D$18*C6+$D$19</f>
        <v>98.214285714285708</v>
      </c>
      <c r="H6" s="418">
        <f>+ABS(D6-G6)</f>
        <v>4911.7857142857147</v>
      </c>
      <c r="I6" s="49"/>
      <c r="J6" s="49"/>
      <c r="K6" s="49"/>
      <c r="L6" s="49"/>
      <c r="O6" s="388"/>
      <c r="P6" s="63"/>
      <c r="Q6" s="64">
        <v>1</v>
      </c>
      <c r="R6" s="64">
        <v>3200</v>
      </c>
      <c r="S6" s="64">
        <f>+Q6*R6</f>
        <v>3200</v>
      </c>
      <c r="T6" s="64">
        <f>+Q6^2</f>
        <v>1</v>
      </c>
      <c r="U6" s="65">
        <f>+$D$18*Q6+$D$19</f>
        <v>98.214285714285708</v>
      </c>
      <c r="V6" s="65">
        <f>+ABS(R6-U6)</f>
        <v>3101.7857142857142</v>
      </c>
      <c r="W6" s="49"/>
      <c r="X6" s="49"/>
      <c r="Y6" s="49"/>
      <c r="Z6" s="49"/>
      <c r="AA6" s="63"/>
      <c r="AB6" s="63"/>
      <c r="AC6" s="63"/>
      <c r="AD6" s="63"/>
      <c r="AE6" s="64">
        <v>1</v>
      </c>
      <c r="AF6" s="64">
        <v>3250</v>
      </c>
      <c r="AG6" s="64">
        <f>+AE6*AF6</f>
        <v>3250</v>
      </c>
      <c r="AH6" s="64">
        <f>+AE6^2</f>
        <v>1</v>
      </c>
      <c r="AI6" s="65">
        <f>+$D$18*AE6+$D$19</f>
        <v>98.214285714285708</v>
      </c>
      <c r="AJ6" s="65">
        <f>+ABS(AF6-AI6)</f>
        <v>3151.7857142857142</v>
      </c>
      <c r="AK6" s="49"/>
      <c r="AL6" s="49"/>
      <c r="AM6" s="49"/>
      <c r="AN6" s="49"/>
      <c r="AO6" s="63"/>
      <c r="AP6" s="63"/>
      <c r="AQ6" s="63"/>
    </row>
    <row r="7" spans="1:43" x14ac:dyDescent="0.25">
      <c r="C7" s="419">
        <v>2</v>
      </c>
      <c r="D7" s="151">
        <v>5100</v>
      </c>
      <c r="E7" s="151">
        <f t="shared" ref="E7:E13" si="0">+C7*D7</f>
        <v>10200</v>
      </c>
      <c r="F7" s="151">
        <f t="shared" ref="F7:F14" si="1">+C7^2</f>
        <v>4</v>
      </c>
      <c r="G7" s="65">
        <f>+$D$18*C7+$D$19</f>
        <v>98.214285714285708</v>
      </c>
      <c r="H7" s="452">
        <f t="shared" ref="H7:H12" si="2">+ABS(D7-G7)</f>
        <v>5001.7857142857147</v>
      </c>
      <c r="I7" s="49"/>
      <c r="J7" s="49"/>
      <c r="K7" s="49"/>
      <c r="L7" s="49"/>
      <c r="O7" s="388"/>
      <c r="P7" s="63"/>
      <c r="Q7" s="64">
        <v>2</v>
      </c>
      <c r="R7" s="64">
        <v>3300</v>
      </c>
      <c r="S7" s="64">
        <f t="shared" ref="S7:S13" si="3">+Q7*R7</f>
        <v>6600</v>
      </c>
      <c r="T7" s="64">
        <f t="shared" ref="T7:T14" si="4">+Q7^2</f>
        <v>4</v>
      </c>
      <c r="U7" s="65">
        <f>+$D$18*Q7+$D$19</f>
        <v>98.214285714285708</v>
      </c>
      <c r="V7" s="65">
        <f t="shared" ref="V7:V12" si="5">+ABS(R7-U7)</f>
        <v>3201.7857142857142</v>
      </c>
      <c r="W7" s="49"/>
      <c r="X7" s="49"/>
      <c r="Y7" s="49"/>
      <c r="Z7" s="49"/>
      <c r="AA7" s="63"/>
      <c r="AB7" s="63"/>
      <c r="AC7" s="63"/>
      <c r="AD7" s="63"/>
      <c r="AE7" s="64">
        <v>2</v>
      </c>
      <c r="AF7" s="64">
        <v>3459</v>
      </c>
      <c r="AG7" s="64">
        <f t="shared" ref="AG7:AG13" si="6">+AE7*AF7</f>
        <v>6918</v>
      </c>
      <c r="AH7" s="64">
        <f t="shared" ref="AH7:AH14" si="7">+AE7^2</f>
        <v>4</v>
      </c>
      <c r="AI7" s="65">
        <f>+$D$18*AE7+$D$19</f>
        <v>98.214285714285708</v>
      </c>
      <c r="AJ7" s="65">
        <f t="shared" ref="AJ7:AJ12" si="8">+ABS(AF7-AI7)</f>
        <v>3360.7857142857142</v>
      </c>
      <c r="AK7" s="49"/>
      <c r="AL7" s="49"/>
      <c r="AM7" s="49"/>
      <c r="AN7" s="49"/>
      <c r="AO7" s="63"/>
      <c r="AP7" s="63"/>
      <c r="AQ7" s="63"/>
    </row>
    <row r="8" spans="1:43" x14ac:dyDescent="0.25">
      <c r="C8" s="419">
        <v>3</v>
      </c>
      <c r="D8" s="151">
        <v>5230</v>
      </c>
      <c r="E8" s="151">
        <f t="shared" si="0"/>
        <v>15690</v>
      </c>
      <c r="F8" s="151">
        <f t="shared" si="1"/>
        <v>9</v>
      </c>
      <c r="G8" s="65">
        <f t="shared" ref="G8:G12" si="9">+$D$18*C8+$D$19</f>
        <v>98.214285714285708</v>
      </c>
      <c r="H8" s="452">
        <f t="shared" si="2"/>
        <v>5131.7857142857147</v>
      </c>
      <c r="I8" s="49"/>
      <c r="J8" s="49"/>
      <c r="K8" s="49"/>
      <c r="L8" s="49"/>
      <c r="O8" s="388"/>
      <c r="P8" s="63"/>
      <c r="Q8" s="64">
        <v>3</v>
      </c>
      <c r="R8" s="64">
        <v>3450</v>
      </c>
      <c r="S8" s="64">
        <f t="shared" si="3"/>
        <v>10350</v>
      </c>
      <c r="T8" s="64">
        <f t="shared" si="4"/>
        <v>9</v>
      </c>
      <c r="U8" s="65">
        <f t="shared" ref="U8:U12" si="10">+$D$18*Q8+$D$19</f>
        <v>98.214285714285708</v>
      </c>
      <c r="V8" s="65">
        <f t="shared" si="5"/>
        <v>3351.7857142857142</v>
      </c>
      <c r="W8" s="49"/>
      <c r="X8" s="49"/>
      <c r="Y8" s="49"/>
      <c r="Z8" s="49"/>
      <c r="AA8" s="63"/>
      <c r="AB8" s="63"/>
      <c r="AC8" s="63"/>
      <c r="AD8" s="63"/>
      <c r="AE8" s="64">
        <v>3</v>
      </c>
      <c r="AF8" s="64">
        <v>3560</v>
      </c>
      <c r="AG8" s="64">
        <f t="shared" si="6"/>
        <v>10680</v>
      </c>
      <c r="AH8" s="64">
        <f t="shared" si="7"/>
        <v>9</v>
      </c>
      <c r="AI8" s="65">
        <f t="shared" ref="AI8:AI12" si="11">+$D$18*AE8+$D$19</f>
        <v>98.214285714285708</v>
      </c>
      <c r="AJ8" s="65">
        <f t="shared" si="8"/>
        <v>3461.7857142857142</v>
      </c>
      <c r="AK8" s="49"/>
      <c r="AL8" s="49"/>
      <c r="AM8" s="49"/>
      <c r="AN8" s="49"/>
      <c r="AO8" s="63"/>
      <c r="AP8" s="63"/>
      <c r="AQ8" s="63"/>
    </row>
    <row r="9" spans="1:43" x14ac:dyDescent="0.25">
      <c r="C9" s="419">
        <v>4</v>
      </c>
      <c r="D9" s="151">
        <v>5300</v>
      </c>
      <c r="E9" s="151">
        <f t="shared" si="0"/>
        <v>21200</v>
      </c>
      <c r="F9" s="151">
        <f t="shared" si="1"/>
        <v>16</v>
      </c>
      <c r="G9" s="65">
        <f t="shared" si="9"/>
        <v>98.214285714285708</v>
      </c>
      <c r="H9" s="452">
        <f t="shared" si="2"/>
        <v>5201.7857142857147</v>
      </c>
      <c r="I9" s="49"/>
      <c r="J9" s="49"/>
      <c r="K9" s="49"/>
      <c r="L9" s="49"/>
      <c r="O9" s="388"/>
      <c r="P9" s="63"/>
      <c r="Q9" s="64">
        <v>4</v>
      </c>
      <c r="R9" s="64">
        <v>3470</v>
      </c>
      <c r="S9" s="64">
        <f t="shared" si="3"/>
        <v>13880</v>
      </c>
      <c r="T9" s="64">
        <f t="shared" si="4"/>
        <v>16</v>
      </c>
      <c r="U9" s="65">
        <f t="shared" si="10"/>
        <v>98.214285714285708</v>
      </c>
      <c r="V9" s="65">
        <f t="shared" si="5"/>
        <v>3371.7857142857142</v>
      </c>
      <c r="W9" s="49"/>
      <c r="X9" s="49"/>
      <c r="Y9" s="49"/>
      <c r="Z9" s="49"/>
      <c r="AA9" s="63"/>
      <c r="AB9" s="63"/>
      <c r="AC9" s="63"/>
      <c r="AD9" s="63"/>
      <c r="AE9" s="64">
        <v>4</v>
      </c>
      <c r="AF9" s="64">
        <v>3700</v>
      </c>
      <c r="AG9" s="64">
        <f t="shared" si="6"/>
        <v>14800</v>
      </c>
      <c r="AH9" s="64">
        <f t="shared" si="7"/>
        <v>16</v>
      </c>
      <c r="AI9" s="65">
        <f t="shared" si="11"/>
        <v>98.214285714285708</v>
      </c>
      <c r="AJ9" s="65">
        <f t="shared" si="8"/>
        <v>3601.7857142857142</v>
      </c>
      <c r="AK9" s="49"/>
      <c r="AL9" s="49"/>
      <c r="AM9" s="49"/>
      <c r="AN9" s="49"/>
      <c r="AO9" s="63"/>
      <c r="AP9" s="63"/>
      <c r="AQ9" s="63"/>
    </row>
    <row r="10" spans="1:43" x14ac:dyDescent="0.25">
      <c r="C10" s="419">
        <v>5</v>
      </c>
      <c r="D10" s="151">
        <v>5400</v>
      </c>
      <c r="E10" s="151">
        <f t="shared" si="0"/>
        <v>27000</v>
      </c>
      <c r="F10" s="151">
        <f t="shared" si="1"/>
        <v>25</v>
      </c>
      <c r="G10" s="65">
        <f t="shared" si="9"/>
        <v>98.214285714285708</v>
      </c>
      <c r="H10" s="452">
        <f t="shared" si="2"/>
        <v>5301.7857142857147</v>
      </c>
      <c r="I10" s="49"/>
      <c r="J10" s="49"/>
      <c r="K10" s="49"/>
      <c r="L10" s="49"/>
      <c r="O10" s="388"/>
      <c r="P10" s="63"/>
      <c r="Q10" s="64">
        <v>5</v>
      </c>
      <c r="R10" s="64">
        <v>3500</v>
      </c>
      <c r="S10" s="64">
        <f t="shared" si="3"/>
        <v>17500</v>
      </c>
      <c r="T10" s="64">
        <f t="shared" si="4"/>
        <v>25</v>
      </c>
      <c r="U10" s="65">
        <f t="shared" si="10"/>
        <v>98.214285714285708</v>
      </c>
      <c r="V10" s="65">
        <f t="shared" si="5"/>
        <v>3401.7857142857142</v>
      </c>
      <c r="W10" s="49"/>
      <c r="X10" s="49"/>
      <c r="Y10" s="49"/>
      <c r="Z10" s="49"/>
      <c r="AA10" s="63"/>
      <c r="AB10" s="63"/>
      <c r="AC10" s="63"/>
      <c r="AD10" s="63"/>
      <c r="AE10" s="64">
        <v>5</v>
      </c>
      <c r="AF10" s="64">
        <v>3720</v>
      </c>
      <c r="AG10" s="64">
        <f t="shared" si="6"/>
        <v>18600</v>
      </c>
      <c r="AH10" s="64">
        <f t="shared" si="7"/>
        <v>25</v>
      </c>
      <c r="AI10" s="65">
        <f t="shared" si="11"/>
        <v>98.214285714285708</v>
      </c>
      <c r="AJ10" s="65">
        <f t="shared" si="8"/>
        <v>3621.7857142857142</v>
      </c>
      <c r="AK10" s="49"/>
      <c r="AL10" s="49"/>
      <c r="AM10" s="49"/>
      <c r="AN10" s="49"/>
      <c r="AO10" s="63"/>
      <c r="AP10" s="63"/>
      <c r="AQ10" s="63"/>
    </row>
    <row r="11" spans="1:43" x14ac:dyDescent="0.25">
      <c r="C11" s="419">
        <v>6</v>
      </c>
      <c r="D11" s="151">
        <v>5430</v>
      </c>
      <c r="E11" s="151">
        <f t="shared" si="0"/>
        <v>32580</v>
      </c>
      <c r="F11" s="151">
        <f t="shared" si="1"/>
        <v>36</v>
      </c>
      <c r="G11" s="65">
        <f t="shared" si="9"/>
        <v>98.214285714285708</v>
      </c>
      <c r="H11" s="452">
        <f t="shared" si="2"/>
        <v>5331.7857142857147</v>
      </c>
      <c r="I11" s="49"/>
      <c r="J11" s="49"/>
      <c r="K11" s="49"/>
      <c r="L11" s="49"/>
      <c r="O11" s="388"/>
      <c r="P11" s="63"/>
      <c r="Q11" s="64">
        <v>6</v>
      </c>
      <c r="R11" s="64">
        <v>3540</v>
      </c>
      <c r="S11" s="64">
        <f t="shared" si="3"/>
        <v>21240</v>
      </c>
      <c r="T11" s="64">
        <f t="shared" si="4"/>
        <v>36</v>
      </c>
      <c r="U11" s="65">
        <f t="shared" si="10"/>
        <v>98.214285714285708</v>
      </c>
      <c r="V11" s="65">
        <f t="shared" si="5"/>
        <v>3441.7857142857142</v>
      </c>
      <c r="W11" s="49"/>
      <c r="X11" s="49"/>
      <c r="Y11" s="49"/>
      <c r="Z11" s="49"/>
      <c r="AA11" s="63"/>
      <c r="AB11" s="63"/>
      <c r="AC11" s="63"/>
      <c r="AD11" s="63"/>
      <c r="AE11" s="64">
        <v>6</v>
      </c>
      <c r="AF11" s="64">
        <v>3800</v>
      </c>
      <c r="AG11" s="64">
        <f t="shared" si="6"/>
        <v>22800</v>
      </c>
      <c r="AH11" s="64">
        <f t="shared" si="7"/>
        <v>36</v>
      </c>
      <c r="AI11" s="65">
        <f t="shared" si="11"/>
        <v>98.214285714285708</v>
      </c>
      <c r="AJ11" s="65">
        <f t="shared" si="8"/>
        <v>3701.7857142857142</v>
      </c>
      <c r="AK11" s="49"/>
      <c r="AL11" s="49"/>
      <c r="AM11" s="49"/>
      <c r="AN11" s="49"/>
      <c r="AO11" s="63"/>
      <c r="AP11" s="63"/>
      <c r="AQ11" s="63"/>
    </row>
    <row r="12" spans="1:43" x14ac:dyDescent="0.25">
      <c r="C12" s="419">
        <v>7</v>
      </c>
      <c r="D12" s="151">
        <v>5650</v>
      </c>
      <c r="E12" s="151">
        <f t="shared" si="0"/>
        <v>39550</v>
      </c>
      <c r="F12" s="151">
        <f t="shared" si="1"/>
        <v>49</v>
      </c>
      <c r="G12" s="151">
        <f t="shared" si="9"/>
        <v>98.214285714285708</v>
      </c>
      <c r="H12" s="453">
        <f t="shared" si="2"/>
        <v>5551.7857142857147</v>
      </c>
      <c r="I12" s="49"/>
      <c r="J12" s="49"/>
      <c r="K12" s="49"/>
      <c r="L12" s="49"/>
      <c r="O12" s="388"/>
      <c r="P12" s="63"/>
      <c r="Q12" s="64">
        <v>7</v>
      </c>
      <c r="R12" s="64">
        <v>3560</v>
      </c>
      <c r="S12" s="64">
        <f t="shared" si="3"/>
        <v>24920</v>
      </c>
      <c r="T12" s="64">
        <f t="shared" si="4"/>
        <v>49</v>
      </c>
      <c r="U12" s="64">
        <f t="shared" si="10"/>
        <v>98.214285714285708</v>
      </c>
      <c r="V12" s="64">
        <f t="shared" si="5"/>
        <v>3461.7857142857142</v>
      </c>
      <c r="W12" s="49"/>
      <c r="X12" s="49"/>
      <c r="Y12" s="49"/>
      <c r="Z12" s="49"/>
      <c r="AA12" s="63"/>
      <c r="AB12" s="63"/>
      <c r="AC12" s="63"/>
      <c r="AD12" s="63"/>
      <c r="AE12" s="64">
        <v>7</v>
      </c>
      <c r="AF12" s="64">
        <v>3880</v>
      </c>
      <c r="AG12" s="64">
        <f t="shared" si="6"/>
        <v>27160</v>
      </c>
      <c r="AH12" s="64">
        <f t="shared" si="7"/>
        <v>49</v>
      </c>
      <c r="AI12" s="64">
        <f t="shared" si="11"/>
        <v>98.214285714285708</v>
      </c>
      <c r="AJ12" s="64">
        <f t="shared" si="8"/>
        <v>3781.7857142857142</v>
      </c>
      <c r="AK12" s="49"/>
      <c r="AL12" s="49"/>
      <c r="AM12" s="49"/>
      <c r="AN12" s="49"/>
      <c r="AO12" s="63"/>
      <c r="AP12" s="63"/>
      <c r="AQ12" s="63"/>
    </row>
    <row r="13" spans="1:43" x14ac:dyDescent="0.25">
      <c r="C13" s="419"/>
      <c r="D13" s="151"/>
      <c r="E13" s="151">
        <f t="shared" si="0"/>
        <v>0</v>
      </c>
      <c r="F13" s="151">
        <f t="shared" si="1"/>
        <v>0</v>
      </c>
      <c r="G13" s="151"/>
      <c r="H13" s="453"/>
      <c r="I13" s="49"/>
      <c r="J13" s="49"/>
      <c r="K13" s="49"/>
      <c r="L13" s="49"/>
      <c r="O13" s="388"/>
      <c r="P13" s="63"/>
      <c r="Q13" s="64"/>
      <c r="R13" s="64"/>
      <c r="S13" s="64">
        <f t="shared" si="3"/>
        <v>0</v>
      </c>
      <c r="T13" s="64">
        <f t="shared" si="4"/>
        <v>0</v>
      </c>
      <c r="U13" s="64"/>
      <c r="V13" s="64"/>
      <c r="W13" s="49"/>
      <c r="X13" s="49"/>
      <c r="Y13" s="49"/>
      <c r="Z13" s="49"/>
      <c r="AA13" s="63"/>
      <c r="AB13" s="63"/>
      <c r="AC13" s="63"/>
      <c r="AD13" s="63"/>
      <c r="AE13" s="64"/>
      <c r="AF13" s="64"/>
      <c r="AG13" s="64">
        <f t="shared" si="6"/>
        <v>0</v>
      </c>
      <c r="AH13" s="64">
        <f t="shared" si="7"/>
        <v>0</v>
      </c>
      <c r="AI13" s="64"/>
      <c r="AJ13" s="64"/>
      <c r="AK13" s="49"/>
      <c r="AL13" s="49"/>
      <c r="AM13" s="49"/>
      <c r="AN13" s="49"/>
      <c r="AO13" s="63"/>
      <c r="AP13" s="63"/>
      <c r="AQ13" s="63"/>
    </row>
    <row r="14" spans="1:43" x14ac:dyDescent="0.25">
      <c r="C14" s="419"/>
      <c r="D14" s="151"/>
      <c r="E14" s="151">
        <f>+C14*D14</f>
        <v>0</v>
      </c>
      <c r="F14" s="151">
        <f t="shared" si="1"/>
        <v>0</v>
      </c>
      <c r="G14" s="151"/>
      <c r="H14" s="453"/>
      <c r="I14" s="49"/>
      <c r="J14" s="49"/>
      <c r="K14" s="49"/>
      <c r="L14" s="49"/>
      <c r="O14" s="388"/>
      <c r="P14" s="63"/>
      <c r="Q14" s="64"/>
      <c r="R14" s="64"/>
      <c r="S14" s="64">
        <f>+Q14*R14</f>
        <v>0</v>
      </c>
      <c r="T14" s="64">
        <f t="shared" si="4"/>
        <v>0</v>
      </c>
      <c r="U14" s="64"/>
      <c r="V14" s="64"/>
      <c r="W14" s="49"/>
      <c r="X14" s="49"/>
      <c r="Y14" s="49"/>
      <c r="Z14" s="49"/>
      <c r="AA14" s="63"/>
      <c r="AB14" s="63"/>
      <c r="AC14" s="63"/>
      <c r="AD14" s="63"/>
      <c r="AE14" s="64"/>
      <c r="AF14" s="64"/>
      <c r="AG14" s="64">
        <f>+AE14*AF14</f>
        <v>0</v>
      </c>
      <c r="AH14" s="64">
        <f t="shared" si="7"/>
        <v>0</v>
      </c>
      <c r="AI14" s="64"/>
      <c r="AJ14" s="64"/>
      <c r="AK14" s="49"/>
      <c r="AL14" s="49"/>
      <c r="AM14" s="49"/>
      <c r="AN14" s="49"/>
      <c r="AO14" s="63"/>
      <c r="AP14" s="63"/>
      <c r="AQ14" s="63"/>
    </row>
    <row r="15" spans="1:43" ht="15.75" thickBot="1" x14ac:dyDescent="0.3">
      <c r="C15" s="424"/>
      <c r="D15" s="117"/>
      <c r="E15" s="117"/>
      <c r="F15" s="117"/>
      <c r="G15" s="117"/>
      <c r="H15" s="423"/>
      <c r="I15" s="49"/>
      <c r="J15" s="49"/>
      <c r="K15" s="49"/>
      <c r="L15" s="49"/>
      <c r="O15" s="388"/>
      <c r="P15" s="63"/>
      <c r="Q15" s="63"/>
      <c r="R15" s="63"/>
      <c r="S15" s="63"/>
      <c r="T15" s="63"/>
      <c r="U15" s="63"/>
      <c r="V15" s="52"/>
      <c r="W15" s="49"/>
      <c r="X15" s="49"/>
      <c r="Y15" s="49"/>
      <c r="Z15" s="49"/>
      <c r="AA15" s="63"/>
      <c r="AB15" s="63"/>
      <c r="AC15" s="63"/>
      <c r="AD15" s="63"/>
      <c r="AE15" s="63"/>
      <c r="AF15" s="63"/>
      <c r="AG15" s="63"/>
      <c r="AH15" s="63"/>
      <c r="AI15" s="63"/>
      <c r="AJ15" s="52"/>
      <c r="AK15" s="49"/>
      <c r="AL15" s="49"/>
      <c r="AM15" s="49"/>
      <c r="AN15" s="49"/>
      <c r="AO15" s="63"/>
      <c r="AP15" s="63"/>
      <c r="AQ15" s="63"/>
    </row>
    <row r="16" spans="1:43" ht="15.75" thickBot="1" x14ac:dyDescent="0.3">
      <c r="B16" s="454" t="s">
        <v>305</v>
      </c>
      <c r="C16" s="454">
        <f>SUM(C6:C15)</f>
        <v>28</v>
      </c>
      <c r="D16" s="455">
        <f t="shared" ref="D16:H16" si="12">SUM(D6:D15)</f>
        <v>37120</v>
      </c>
      <c r="E16" s="455">
        <f t="shared" si="12"/>
        <v>151230</v>
      </c>
      <c r="F16" s="455">
        <f t="shared" si="12"/>
        <v>140</v>
      </c>
      <c r="G16" s="455">
        <f t="shared" si="12"/>
        <v>687.49999999999989</v>
      </c>
      <c r="H16" s="456">
        <f t="shared" si="12"/>
        <v>36432.5</v>
      </c>
      <c r="I16" s="49"/>
      <c r="J16" s="49"/>
      <c r="K16" s="49"/>
      <c r="L16" s="49"/>
      <c r="O16" s="388"/>
      <c r="P16" s="63" t="s">
        <v>11</v>
      </c>
      <c r="Q16" s="66">
        <f>SUM(Q6:Q15)</f>
        <v>28</v>
      </c>
      <c r="R16" s="67">
        <f t="shared" ref="R16:V16" si="13">SUM(R6:R15)</f>
        <v>24020</v>
      </c>
      <c r="S16" s="67">
        <f t="shared" si="13"/>
        <v>97690</v>
      </c>
      <c r="T16" s="67">
        <f t="shared" si="13"/>
        <v>140</v>
      </c>
      <c r="U16" s="67">
        <f t="shared" si="13"/>
        <v>687.49999999999989</v>
      </c>
      <c r="V16" s="53">
        <f t="shared" si="13"/>
        <v>23332.5</v>
      </c>
      <c r="W16" s="49"/>
      <c r="X16" s="49"/>
      <c r="Y16" s="49"/>
      <c r="Z16" s="49"/>
      <c r="AA16" s="63"/>
      <c r="AB16" s="63"/>
      <c r="AC16" s="63"/>
      <c r="AD16" s="63" t="s">
        <v>11</v>
      </c>
      <c r="AE16" s="66">
        <f>SUM(AE6:AE15)</f>
        <v>28</v>
      </c>
      <c r="AF16" s="67">
        <f t="shared" ref="AF16:AJ16" si="14">SUM(AF6:AF15)</f>
        <v>25369</v>
      </c>
      <c r="AG16" s="67">
        <f t="shared" si="14"/>
        <v>104208</v>
      </c>
      <c r="AH16" s="67">
        <f t="shared" si="14"/>
        <v>140</v>
      </c>
      <c r="AI16" s="67">
        <f t="shared" si="14"/>
        <v>687.49999999999989</v>
      </c>
      <c r="AJ16" s="53">
        <f t="shared" si="14"/>
        <v>24681.5</v>
      </c>
      <c r="AK16" s="49"/>
      <c r="AL16" s="49"/>
      <c r="AM16" s="49"/>
      <c r="AN16" s="49"/>
      <c r="AO16" s="63"/>
      <c r="AP16" s="63"/>
      <c r="AQ16" s="63"/>
    </row>
    <row r="17" spans="2:44" x14ac:dyDescent="0.25">
      <c r="O17" s="388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</row>
    <row r="18" spans="2:44" ht="15.75" thickBot="1" x14ac:dyDescent="0.3">
      <c r="O18" s="388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</row>
    <row r="19" spans="2:44" x14ac:dyDescent="0.25">
      <c r="C19" s="461" t="s">
        <v>7</v>
      </c>
      <c r="D19" s="457">
        <f>+(D21*E16-C16*D16)/(D21*F16-C16*C16)</f>
        <v>98.214285714285708</v>
      </c>
      <c r="E19" s="2"/>
      <c r="O19" s="388"/>
      <c r="P19" s="63"/>
      <c r="Q19" s="142" t="s">
        <v>7</v>
      </c>
      <c r="R19" s="94">
        <f>+(R21*S16-Q16*R16)/(R21*T16-Q16*Q16)</f>
        <v>57.5</v>
      </c>
      <c r="S19" s="65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407" t="s">
        <v>7</v>
      </c>
      <c r="AF19" s="94">
        <f>+(AF21*AG16-AE16*AF16)/(AF21*AH16-AE16*AE16)</f>
        <v>97.571428571428569</v>
      </c>
      <c r="AG19" s="65"/>
      <c r="AH19" s="63"/>
      <c r="AI19" s="63"/>
      <c r="AJ19" s="63"/>
      <c r="AK19" s="63"/>
      <c r="AL19" s="63"/>
      <c r="AM19" s="63"/>
      <c r="AN19" s="63"/>
      <c r="AO19" s="63"/>
      <c r="AP19" s="63"/>
      <c r="AQ19" s="63"/>
    </row>
    <row r="20" spans="2:44" x14ac:dyDescent="0.25">
      <c r="C20" s="462" t="s">
        <v>8</v>
      </c>
      <c r="D20" s="458">
        <f>+(D16*F16-C16*E16)/(D21*F16-C16*C16)</f>
        <v>4910</v>
      </c>
      <c r="E20" s="1"/>
      <c r="O20" s="388"/>
      <c r="P20" s="63"/>
      <c r="Q20" s="142" t="s">
        <v>8</v>
      </c>
      <c r="R20" s="95">
        <f>+(R16*T16-Q16*S16)/(R21*T16-Q16*Q16)</f>
        <v>3201.4285714285716</v>
      </c>
      <c r="S20" s="64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407" t="s">
        <v>8</v>
      </c>
      <c r="AF20" s="95">
        <f>+(AF16*AH16-AE16*AG16)/(AF21*AH16-AE16*AE16)</f>
        <v>3233.8571428571427</v>
      </c>
      <c r="AG20" s="64"/>
      <c r="AH20" s="63"/>
      <c r="AI20" s="63"/>
      <c r="AJ20" s="63"/>
      <c r="AK20" s="63"/>
      <c r="AL20" s="63"/>
      <c r="AM20" s="63"/>
      <c r="AN20" s="63"/>
      <c r="AO20" s="63"/>
      <c r="AP20" s="63"/>
      <c r="AQ20" s="63"/>
    </row>
    <row r="21" spans="2:44" ht="15.75" thickBot="1" x14ac:dyDescent="0.3">
      <c r="C21" s="462" t="s">
        <v>12</v>
      </c>
      <c r="D21" s="459">
        <v>7</v>
      </c>
      <c r="E21" s="414"/>
      <c r="O21" s="388"/>
      <c r="P21" s="63"/>
      <c r="Q21" s="142" t="s">
        <v>12</v>
      </c>
      <c r="R21" s="96">
        <v>7</v>
      </c>
      <c r="S21" s="64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407" t="s">
        <v>12</v>
      </c>
      <c r="AF21" s="96">
        <v>7</v>
      </c>
      <c r="AG21" s="64"/>
      <c r="AH21" s="63"/>
      <c r="AI21" s="63"/>
      <c r="AJ21" s="63"/>
      <c r="AK21" s="63"/>
      <c r="AL21" s="63"/>
      <c r="AM21" s="63"/>
      <c r="AN21" s="63"/>
      <c r="AO21" s="63"/>
      <c r="AP21" s="63"/>
      <c r="AQ21" s="63"/>
    </row>
    <row r="22" spans="2:44" ht="15.75" thickBot="1" x14ac:dyDescent="0.3">
      <c r="C22" s="462" t="s">
        <v>9</v>
      </c>
      <c r="D22" s="464">
        <f>+D19*D23+D20</f>
        <v>5695.7142857142853</v>
      </c>
      <c r="E22" s="465">
        <f>+D19*E23+D20</f>
        <v>5793.9285714285716</v>
      </c>
      <c r="O22" s="388"/>
      <c r="P22" s="63"/>
      <c r="Q22" s="142" t="s">
        <v>9</v>
      </c>
      <c r="R22" s="503">
        <f>+R19*R23+R20</f>
        <v>3661.4285714285716</v>
      </c>
      <c r="S22" s="504">
        <f>+R19*S23+R20</f>
        <v>3718.9285714285716</v>
      </c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407" t="s">
        <v>9</v>
      </c>
      <c r="AF22" s="509">
        <f>+AF19*AF23+AF20</f>
        <v>4014.4285714285711</v>
      </c>
      <c r="AG22" s="510">
        <f>+AF19*AG23+AF20</f>
        <v>4112</v>
      </c>
      <c r="AH22" s="63"/>
      <c r="AI22" s="63"/>
      <c r="AJ22" s="63"/>
      <c r="AK22" s="63"/>
      <c r="AL22" s="63"/>
      <c r="AM22" s="63"/>
      <c r="AN22" s="63"/>
      <c r="AO22" s="63"/>
      <c r="AP22" s="63"/>
      <c r="AQ22" s="63"/>
    </row>
    <row r="23" spans="2:44" ht="15.75" thickBot="1" x14ac:dyDescent="0.3">
      <c r="C23" s="463" t="s">
        <v>10</v>
      </c>
      <c r="D23" s="460">
        <f>+D21+1</f>
        <v>8</v>
      </c>
      <c r="E23" s="102">
        <f>+D21+2</f>
        <v>9</v>
      </c>
      <c r="O23" s="388"/>
      <c r="P23" s="63"/>
      <c r="Q23" s="142" t="s">
        <v>10</v>
      </c>
      <c r="R23" s="96">
        <f>+R21+1</f>
        <v>8</v>
      </c>
      <c r="S23" s="64">
        <f>+R21+2</f>
        <v>9</v>
      </c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407" t="s">
        <v>10</v>
      </c>
      <c r="AF23" s="96">
        <f>+AF21+1</f>
        <v>8</v>
      </c>
      <c r="AG23" s="64">
        <f>+AF21+2</f>
        <v>9</v>
      </c>
      <c r="AH23" s="63"/>
      <c r="AI23" s="63"/>
      <c r="AJ23" s="63"/>
      <c r="AK23" s="63"/>
      <c r="AL23" s="63"/>
      <c r="AM23" s="63"/>
      <c r="AN23" s="63"/>
      <c r="AO23" s="63"/>
      <c r="AP23" s="63"/>
      <c r="AQ23" s="63"/>
    </row>
    <row r="24" spans="2:44" ht="15.75" thickBot="1" x14ac:dyDescent="0.3">
      <c r="O24" s="388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</row>
    <row r="25" spans="2:44" ht="15.75" thickBot="1" x14ac:dyDescent="0.3">
      <c r="B25" s="150"/>
      <c r="C25" s="471"/>
      <c r="D25" s="449" t="s">
        <v>15</v>
      </c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388"/>
      <c r="P25" s="150"/>
      <c r="Q25" s="150"/>
      <c r="R25" s="68" t="s">
        <v>281</v>
      </c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508" t="s">
        <v>282</v>
      </c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</row>
    <row r="26" spans="2:44" ht="15.75" thickBot="1" x14ac:dyDescent="0.3">
      <c r="B26" s="150"/>
      <c r="C26" s="448" t="s">
        <v>1</v>
      </c>
      <c r="D26" s="470" t="s">
        <v>53</v>
      </c>
      <c r="E26" s="470" t="s">
        <v>3</v>
      </c>
      <c r="F26" s="470" t="s">
        <v>4</v>
      </c>
      <c r="G26" s="470" t="s">
        <v>5</v>
      </c>
      <c r="H26" s="449" t="s">
        <v>6</v>
      </c>
      <c r="I26" s="150"/>
      <c r="J26" s="150"/>
      <c r="K26" s="150"/>
      <c r="L26" s="150"/>
      <c r="M26" s="150"/>
      <c r="N26" s="150"/>
      <c r="O26" s="388"/>
      <c r="P26" s="150"/>
      <c r="Q26" s="68" t="s">
        <v>1</v>
      </c>
      <c r="R26" s="68" t="s">
        <v>2</v>
      </c>
      <c r="S26" s="68" t="s">
        <v>3</v>
      </c>
      <c r="T26" s="68" t="s">
        <v>4</v>
      </c>
      <c r="U26" s="68" t="s">
        <v>5</v>
      </c>
      <c r="V26" s="68" t="s">
        <v>6</v>
      </c>
      <c r="W26" s="150"/>
      <c r="X26" s="150"/>
      <c r="Y26" s="150"/>
      <c r="Z26" s="150"/>
      <c r="AA26" s="150"/>
      <c r="AB26" s="150"/>
      <c r="AC26" s="150"/>
      <c r="AD26" s="150"/>
      <c r="AE26" s="508" t="s">
        <v>1</v>
      </c>
      <c r="AF26" s="508" t="s">
        <v>2</v>
      </c>
      <c r="AG26" s="508" t="s">
        <v>3</v>
      </c>
      <c r="AH26" s="508" t="s">
        <v>4</v>
      </c>
      <c r="AI26" s="508" t="s">
        <v>5</v>
      </c>
      <c r="AJ26" s="508" t="s">
        <v>6</v>
      </c>
      <c r="AK26" s="150"/>
      <c r="AL26" s="150"/>
      <c r="AM26" s="150"/>
      <c r="AN26" s="150"/>
      <c r="AO26" s="150"/>
      <c r="AP26" s="150"/>
      <c r="AQ26" s="150"/>
      <c r="AR26" s="150"/>
    </row>
    <row r="27" spans="2:44" x14ac:dyDescent="0.25">
      <c r="B27" s="150"/>
      <c r="C27" s="417">
        <v>1</v>
      </c>
      <c r="D27" s="102">
        <v>5311</v>
      </c>
      <c r="E27" s="102">
        <f>+C27*D27</f>
        <v>5311</v>
      </c>
      <c r="F27" s="102">
        <f>+C27^2</f>
        <v>1</v>
      </c>
      <c r="G27" s="416">
        <f>+$D$18*C27+$D$19</f>
        <v>98.214285714285708</v>
      </c>
      <c r="H27" s="418">
        <f>+ABS(D27-G27)</f>
        <v>5212.7857142857147</v>
      </c>
      <c r="I27" s="150"/>
      <c r="J27" s="150"/>
      <c r="K27" s="150"/>
      <c r="L27" s="150"/>
      <c r="M27" s="150"/>
      <c r="N27" s="150"/>
      <c r="O27" s="388"/>
      <c r="P27" s="150"/>
      <c r="Q27" s="151">
        <v>1</v>
      </c>
      <c r="R27" s="151">
        <v>3392</v>
      </c>
      <c r="S27" s="151">
        <f>+Q27*R27</f>
        <v>3392</v>
      </c>
      <c r="T27" s="151">
        <f>+Q27^2</f>
        <v>1</v>
      </c>
      <c r="U27" s="65">
        <f>+$D$18*Q27+$D$19</f>
        <v>98.214285714285708</v>
      </c>
      <c r="V27" s="65">
        <f>+ABS(R27-U27)</f>
        <v>3293.7857142857142</v>
      </c>
      <c r="W27" s="150"/>
      <c r="X27" s="150"/>
      <c r="Y27" s="150"/>
      <c r="Z27" s="150"/>
      <c r="AA27" s="150"/>
      <c r="AB27" s="150"/>
      <c r="AC27" s="150"/>
      <c r="AD27" s="150"/>
      <c r="AE27" s="151">
        <v>1</v>
      </c>
      <c r="AF27" s="151">
        <v>3445</v>
      </c>
      <c r="AG27" s="151">
        <f>+AE27*AF27</f>
        <v>3445</v>
      </c>
      <c r="AH27" s="151">
        <f>+AE27^2</f>
        <v>1</v>
      </c>
      <c r="AI27" s="65">
        <f>+$D$18*AE27+$D$19</f>
        <v>98.214285714285708</v>
      </c>
      <c r="AJ27" s="65">
        <f>+ABS(AF27-AI27)</f>
        <v>3346.7857142857142</v>
      </c>
      <c r="AK27" s="150"/>
      <c r="AL27" s="150"/>
      <c r="AM27" s="150"/>
      <c r="AN27" s="150"/>
      <c r="AO27" s="150"/>
      <c r="AP27" s="150"/>
      <c r="AQ27" s="150"/>
      <c r="AR27" s="150"/>
    </row>
    <row r="28" spans="2:44" x14ac:dyDescent="0.25">
      <c r="B28" s="150"/>
      <c r="C28" s="419">
        <v>2</v>
      </c>
      <c r="D28" s="151">
        <v>5406</v>
      </c>
      <c r="E28" s="151">
        <f t="shared" ref="E28:E34" si="15">+C28*D28</f>
        <v>10812</v>
      </c>
      <c r="F28" s="151">
        <f t="shared" ref="F28:F35" si="16">+C28^2</f>
        <v>4</v>
      </c>
      <c r="G28" s="65">
        <f>+$D$18*C28+$D$19</f>
        <v>98.214285714285708</v>
      </c>
      <c r="H28" s="452">
        <f t="shared" ref="H28:H33" si="17">+ABS(D28-G28)</f>
        <v>5307.7857142857147</v>
      </c>
      <c r="I28" s="150"/>
      <c r="J28" s="150"/>
      <c r="K28" s="150"/>
      <c r="L28" s="150"/>
      <c r="M28" s="150"/>
      <c r="N28" s="150"/>
      <c r="O28" s="388"/>
      <c r="P28" s="150"/>
      <c r="Q28" s="151">
        <v>2</v>
      </c>
      <c r="R28" s="151">
        <v>3498</v>
      </c>
      <c r="S28" s="151">
        <f t="shared" ref="S28:S34" si="18">+Q28*R28</f>
        <v>6996</v>
      </c>
      <c r="T28" s="151">
        <f t="shared" ref="T28:T35" si="19">+Q28^2</f>
        <v>4</v>
      </c>
      <c r="U28" s="65">
        <f>+$D$18*Q28+$D$19</f>
        <v>98.214285714285708</v>
      </c>
      <c r="V28" s="65">
        <f t="shared" ref="V28:V33" si="20">+ABS(R28-U28)</f>
        <v>3399.7857142857142</v>
      </c>
      <c r="W28" s="150"/>
      <c r="X28" s="150"/>
      <c r="Y28" s="150"/>
      <c r="Z28" s="150"/>
      <c r="AA28" s="150"/>
      <c r="AB28" s="150"/>
      <c r="AC28" s="150"/>
      <c r="AD28" s="150"/>
      <c r="AE28" s="151">
        <v>2</v>
      </c>
      <c r="AF28" s="151">
        <v>3667</v>
      </c>
      <c r="AG28" s="151">
        <f t="shared" ref="AG28:AG34" si="21">+AE28*AF28</f>
        <v>7334</v>
      </c>
      <c r="AH28" s="151">
        <f t="shared" ref="AH28:AH35" si="22">+AE28^2</f>
        <v>4</v>
      </c>
      <c r="AI28" s="65">
        <f>+$D$18*AE28+$D$19</f>
        <v>98.214285714285708</v>
      </c>
      <c r="AJ28" s="65">
        <f t="shared" ref="AJ28:AJ33" si="23">+ABS(AF28-AI28)</f>
        <v>3568.7857142857142</v>
      </c>
      <c r="AK28" s="150"/>
      <c r="AL28" s="150"/>
      <c r="AM28" s="150"/>
      <c r="AN28" s="150"/>
      <c r="AO28" s="150"/>
      <c r="AP28" s="150"/>
      <c r="AQ28" s="150"/>
      <c r="AR28" s="150"/>
    </row>
    <row r="29" spans="2:44" x14ac:dyDescent="0.25">
      <c r="B29" s="150"/>
      <c r="C29" s="419">
        <v>3</v>
      </c>
      <c r="D29" s="151">
        <v>5544</v>
      </c>
      <c r="E29" s="151">
        <f t="shared" si="15"/>
        <v>16632</v>
      </c>
      <c r="F29" s="151">
        <f t="shared" si="16"/>
        <v>9</v>
      </c>
      <c r="G29" s="65">
        <f t="shared" ref="G29:G33" si="24">+$D$18*C29+$D$19</f>
        <v>98.214285714285708</v>
      </c>
      <c r="H29" s="452">
        <f t="shared" si="17"/>
        <v>5445.7857142857147</v>
      </c>
      <c r="I29" s="150"/>
      <c r="J29" s="150"/>
      <c r="K29" s="150"/>
      <c r="L29" s="150"/>
      <c r="M29" s="150"/>
      <c r="N29" s="150"/>
      <c r="O29" s="388"/>
      <c r="P29" s="150"/>
      <c r="Q29" s="151">
        <v>3</v>
      </c>
      <c r="R29" s="151">
        <v>3657</v>
      </c>
      <c r="S29" s="151">
        <f t="shared" si="18"/>
        <v>10971</v>
      </c>
      <c r="T29" s="151">
        <f t="shared" si="19"/>
        <v>9</v>
      </c>
      <c r="U29" s="65">
        <f t="shared" ref="U29:U33" si="25">+$D$18*Q29+$D$19</f>
        <v>98.214285714285708</v>
      </c>
      <c r="V29" s="65">
        <f t="shared" si="20"/>
        <v>3558.7857142857142</v>
      </c>
      <c r="W29" s="150"/>
      <c r="X29" s="150"/>
      <c r="Y29" s="150"/>
      <c r="Z29" s="150"/>
      <c r="AA29" s="150"/>
      <c r="AB29" s="150"/>
      <c r="AC29" s="150"/>
      <c r="AD29" s="150"/>
      <c r="AE29" s="151">
        <v>3</v>
      </c>
      <c r="AF29" s="151">
        <v>3774</v>
      </c>
      <c r="AG29" s="151">
        <f t="shared" si="21"/>
        <v>11322</v>
      </c>
      <c r="AH29" s="151">
        <f t="shared" si="22"/>
        <v>9</v>
      </c>
      <c r="AI29" s="65">
        <f t="shared" ref="AI29:AI33" si="26">+$D$18*AE29+$D$19</f>
        <v>98.214285714285708</v>
      </c>
      <c r="AJ29" s="65">
        <f t="shared" si="23"/>
        <v>3675.7857142857142</v>
      </c>
      <c r="AK29" s="150"/>
      <c r="AL29" s="150"/>
      <c r="AM29" s="150"/>
      <c r="AN29" s="150"/>
      <c r="AO29" s="150"/>
      <c r="AP29" s="150"/>
      <c r="AQ29" s="150"/>
      <c r="AR29" s="150"/>
    </row>
    <row r="30" spans="2:44" x14ac:dyDescent="0.25">
      <c r="B30" s="150"/>
      <c r="C30" s="419">
        <v>4</v>
      </c>
      <c r="D30" s="151">
        <v>5618</v>
      </c>
      <c r="E30" s="151">
        <f t="shared" si="15"/>
        <v>22472</v>
      </c>
      <c r="F30" s="151">
        <f t="shared" si="16"/>
        <v>16</v>
      </c>
      <c r="G30" s="65">
        <f t="shared" si="24"/>
        <v>98.214285714285708</v>
      </c>
      <c r="H30" s="452">
        <f t="shared" si="17"/>
        <v>5519.7857142857147</v>
      </c>
      <c r="I30" s="150"/>
      <c r="J30" s="150"/>
      <c r="K30" s="150"/>
      <c r="L30" s="150"/>
      <c r="M30" s="150"/>
      <c r="N30" s="150"/>
      <c r="O30" s="388"/>
      <c r="P30" s="150"/>
      <c r="Q30" s="151">
        <v>4</v>
      </c>
      <c r="R30" s="151">
        <v>3679</v>
      </c>
      <c r="S30" s="151">
        <f t="shared" si="18"/>
        <v>14716</v>
      </c>
      <c r="T30" s="151">
        <f t="shared" si="19"/>
        <v>16</v>
      </c>
      <c r="U30" s="65">
        <f t="shared" si="25"/>
        <v>98.214285714285708</v>
      </c>
      <c r="V30" s="65">
        <f t="shared" si="20"/>
        <v>3580.7857142857142</v>
      </c>
      <c r="W30" s="150"/>
      <c r="X30" s="150"/>
      <c r="Y30" s="150"/>
      <c r="Z30" s="150"/>
      <c r="AA30" s="150"/>
      <c r="AB30" s="150"/>
      <c r="AC30" s="150"/>
      <c r="AD30" s="150"/>
      <c r="AE30" s="151">
        <v>4</v>
      </c>
      <c r="AF30" s="151">
        <v>3922</v>
      </c>
      <c r="AG30" s="151">
        <f t="shared" si="21"/>
        <v>15688</v>
      </c>
      <c r="AH30" s="151">
        <f t="shared" si="22"/>
        <v>16</v>
      </c>
      <c r="AI30" s="65">
        <f t="shared" si="26"/>
        <v>98.214285714285708</v>
      </c>
      <c r="AJ30" s="65">
        <f t="shared" si="23"/>
        <v>3823.7857142857142</v>
      </c>
      <c r="AK30" s="150"/>
      <c r="AL30" s="150"/>
      <c r="AM30" s="150"/>
      <c r="AN30" s="150"/>
      <c r="AO30" s="150"/>
      <c r="AP30" s="150"/>
      <c r="AQ30" s="150"/>
      <c r="AR30" s="150"/>
    </row>
    <row r="31" spans="2:44" x14ac:dyDescent="0.25">
      <c r="B31" s="150"/>
      <c r="C31" s="419">
        <v>5</v>
      </c>
      <c r="D31" s="151">
        <v>5724</v>
      </c>
      <c r="E31" s="151">
        <f t="shared" si="15"/>
        <v>28620</v>
      </c>
      <c r="F31" s="151">
        <f t="shared" si="16"/>
        <v>25</v>
      </c>
      <c r="G31" s="65">
        <f t="shared" si="24"/>
        <v>98.214285714285708</v>
      </c>
      <c r="H31" s="452">
        <f t="shared" si="17"/>
        <v>5625.7857142857147</v>
      </c>
      <c r="I31" s="150"/>
      <c r="J31" s="150"/>
      <c r="K31" s="150"/>
      <c r="L31" s="150"/>
      <c r="M31" s="150"/>
      <c r="N31" s="150"/>
      <c r="O31" s="388"/>
      <c r="P31" s="150"/>
      <c r="Q31" s="151">
        <v>5</v>
      </c>
      <c r="R31" s="151">
        <v>3710</v>
      </c>
      <c r="S31" s="151">
        <f t="shared" si="18"/>
        <v>18550</v>
      </c>
      <c r="T31" s="151">
        <f t="shared" si="19"/>
        <v>25</v>
      </c>
      <c r="U31" s="65">
        <f t="shared" si="25"/>
        <v>98.214285714285708</v>
      </c>
      <c r="V31" s="65">
        <f t="shared" si="20"/>
        <v>3611.7857142857142</v>
      </c>
      <c r="W31" s="150"/>
      <c r="X31" s="150"/>
      <c r="Y31" s="150"/>
      <c r="Z31" s="150"/>
      <c r="AA31" s="150"/>
      <c r="AB31" s="150"/>
      <c r="AC31" s="150"/>
      <c r="AD31" s="150"/>
      <c r="AE31" s="151">
        <v>5</v>
      </c>
      <c r="AF31" s="151">
        <v>3944</v>
      </c>
      <c r="AG31" s="151">
        <f t="shared" si="21"/>
        <v>19720</v>
      </c>
      <c r="AH31" s="151">
        <f t="shared" si="22"/>
        <v>25</v>
      </c>
      <c r="AI31" s="65">
        <f t="shared" si="26"/>
        <v>98.214285714285708</v>
      </c>
      <c r="AJ31" s="65">
        <f t="shared" si="23"/>
        <v>3845.7857142857142</v>
      </c>
      <c r="AK31" s="150"/>
      <c r="AL31" s="150"/>
      <c r="AM31" s="150"/>
      <c r="AN31" s="150"/>
      <c r="AO31" s="150"/>
      <c r="AP31" s="150"/>
      <c r="AQ31" s="150"/>
      <c r="AR31" s="150"/>
    </row>
    <row r="32" spans="2:44" x14ac:dyDescent="0.25">
      <c r="B32" s="150"/>
      <c r="C32" s="419">
        <v>6</v>
      </c>
      <c r="D32" s="151">
        <v>5756</v>
      </c>
      <c r="E32" s="151">
        <f t="shared" si="15"/>
        <v>34536</v>
      </c>
      <c r="F32" s="151">
        <f t="shared" si="16"/>
        <v>36</v>
      </c>
      <c r="G32" s="65">
        <f t="shared" si="24"/>
        <v>98.214285714285708</v>
      </c>
      <c r="H32" s="452">
        <f t="shared" si="17"/>
        <v>5657.7857142857147</v>
      </c>
      <c r="I32" s="150"/>
      <c r="J32" s="150"/>
      <c r="K32" s="150"/>
      <c r="L32" s="150"/>
      <c r="M32" s="150"/>
      <c r="N32" s="150"/>
      <c r="O32" s="388"/>
      <c r="P32" s="150"/>
      <c r="Q32" s="151">
        <v>6</v>
      </c>
      <c r="R32" s="151">
        <v>3753</v>
      </c>
      <c r="S32" s="151">
        <f t="shared" si="18"/>
        <v>22518</v>
      </c>
      <c r="T32" s="151">
        <f t="shared" si="19"/>
        <v>36</v>
      </c>
      <c r="U32" s="65">
        <f t="shared" si="25"/>
        <v>98.214285714285708</v>
      </c>
      <c r="V32" s="65">
        <f t="shared" si="20"/>
        <v>3654.7857142857142</v>
      </c>
      <c r="W32" s="150"/>
      <c r="X32" s="150"/>
      <c r="Y32" s="150"/>
      <c r="Z32" s="150"/>
      <c r="AA32" s="150"/>
      <c r="AB32" s="150"/>
      <c r="AC32" s="150"/>
      <c r="AD32" s="150"/>
      <c r="AE32" s="151">
        <v>6</v>
      </c>
      <c r="AF32" s="151">
        <v>4028</v>
      </c>
      <c r="AG32" s="151">
        <f t="shared" si="21"/>
        <v>24168</v>
      </c>
      <c r="AH32" s="151">
        <f t="shared" si="22"/>
        <v>36</v>
      </c>
      <c r="AI32" s="65">
        <f t="shared" si="26"/>
        <v>98.214285714285708</v>
      </c>
      <c r="AJ32" s="65">
        <f t="shared" si="23"/>
        <v>3929.7857142857142</v>
      </c>
      <c r="AK32" s="150"/>
      <c r="AL32" s="150"/>
      <c r="AM32" s="150"/>
      <c r="AN32" s="150"/>
      <c r="AO32" s="150"/>
      <c r="AP32" s="150"/>
      <c r="AQ32" s="150"/>
      <c r="AR32" s="150"/>
    </row>
    <row r="33" spans="2:44" x14ac:dyDescent="0.25">
      <c r="B33" s="150"/>
      <c r="C33" s="419">
        <v>7</v>
      </c>
      <c r="D33" s="151">
        <v>5989</v>
      </c>
      <c r="E33" s="151">
        <f t="shared" si="15"/>
        <v>41923</v>
      </c>
      <c r="F33" s="151">
        <f t="shared" si="16"/>
        <v>49</v>
      </c>
      <c r="G33" s="151">
        <f t="shared" si="24"/>
        <v>98.214285714285708</v>
      </c>
      <c r="H33" s="453">
        <f t="shared" si="17"/>
        <v>5890.7857142857147</v>
      </c>
      <c r="I33" s="150"/>
      <c r="J33" s="150"/>
      <c r="K33" s="150"/>
      <c r="L33" s="150"/>
      <c r="M33" s="150"/>
      <c r="N33" s="150"/>
      <c r="O33" s="388"/>
      <c r="P33" s="150"/>
      <c r="Q33" s="151">
        <v>7</v>
      </c>
      <c r="R33" s="151">
        <v>3774</v>
      </c>
      <c r="S33" s="151">
        <f t="shared" si="18"/>
        <v>26418</v>
      </c>
      <c r="T33" s="151">
        <f t="shared" si="19"/>
        <v>49</v>
      </c>
      <c r="U33" s="151">
        <f t="shared" si="25"/>
        <v>98.214285714285708</v>
      </c>
      <c r="V33" s="151">
        <f t="shared" si="20"/>
        <v>3675.7857142857142</v>
      </c>
      <c r="W33" s="150"/>
      <c r="X33" s="150"/>
      <c r="Y33" s="150"/>
      <c r="Z33" s="150"/>
      <c r="AA33" s="150"/>
      <c r="AB33" s="150"/>
      <c r="AC33" s="150"/>
      <c r="AD33" s="150"/>
      <c r="AE33" s="151">
        <v>7</v>
      </c>
      <c r="AF33" s="151">
        <v>4113</v>
      </c>
      <c r="AG33" s="151">
        <f t="shared" si="21"/>
        <v>28791</v>
      </c>
      <c r="AH33" s="151">
        <f t="shared" si="22"/>
        <v>49</v>
      </c>
      <c r="AI33" s="151">
        <f t="shared" si="26"/>
        <v>98.214285714285708</v>
      </c>
      <c r="AJ33" s="151">
        <f t="shared" si="23"/>
        <v>4014.7857142857142</v>
      </c>
      <c r="AK33" s="150"/>
      <c r="AL33" s="150"/>
      <c r="AM33" s="150"/>
      <c r="AN33" s="150"/>
      <c r="AO33" s="150"/>
      <c r="AP33" s="150"/>
      <c r="AQ33" s="150"/>
      <c r="AR33" s="150"/>
    </row>
    <row r="34" spans="2:44" x14ac:dyDescent="0.25">
      <c r="B34" s="150"/>
      <c r="C34" s="419"/>
      <c r="D34" s="151"/>
      <c r="E34" s="151">
        <f t="shared" si="15"/>
        <v>0</v>
      </c>
      <c r="F34" s="151">
        <f t="shared" si="16"/>
        <v>0</v>
      </c>
      <c r="G34" s="151"/>
      <c r="H34" s="453"/>
      <c r="I34" s="150"/>
      <c r="J34" s="150"/>
      <c r="K34" s="150"/>
      <c r="L34" s="150"/>
      <c r="M34" s="150"/>
      <c r="N34" s="150"/>
      <c r="O34" s="388"/>
      <c r="P34" s="150"/>
      <c r="Q34" s="151"/>
      <c r="R34" s="151"/>
      <c r="S34" s="151">
        <f t="shared" si="18"/>
        <v>0</v>
      </c>
      <c r="T34" s="151">
        <f t="shared" si="19"/>
        <v>0</v>
      </c>
      <c r="U34" s="151"/>
      <c r="V34" s="151"/>
      <c r="W34" s="150"/>
      <c r="X34" s="150"/>
      <c r="Y34" s="150"/>
      <c r="Z34" s="150"/>
      <c r="AA34" s="150"/>
      <c r="AB34" s="150"/>
      <c r="AC34" s="150"/>
      <c r="AD34" s="150"/>
      <c r="AE34" s="151"/>
      <c r="AF34" s="151"/>
      <c r="AG34" s="151">
        <f t="shared" si="21"/>
        <v>0</v>
      </c>
      <c r="AH34" s="151">
        <f t="shared" si="22"/>
        <v>0</v>
      </c>
      <c r="AI34" s="151"/>
      <c r="AJ34" s="151"/>
      <c r="AK34" s="150"/>
      <c r="AL34" s="150"/>
      <c r="AM34" s="150"/>
      <c r="AN34" s="150"/>
      <c r="AO34" s="150"/>
      <c r="AP34" s="150"/>
      <c r="AQ34" s="150"/>
      <c r="AR34" s="150"/>
    </row>
    <row r="35" spans="2:44" ht="15.75" thickBot="1" x14ac:dyDescent="0.3">
      <c r="B35" s="150"/>
      <c r="C35" s="467"/>
      <c r="D35" s="468"/>
      <c r="E35" s="468">
        <f>+C35*D35</f>
        <v>0</v>
      </c>
      <c r="F35" s="468">
        <f t="shared" si="16"/>
        <v>0</v>
      </c>
      <c r="G35" s="468"/>
      <c r="H35" s="469"/>
      <c r="I35" s="150"/>
      <c r="J35" s="150"/>
      <c r="K35" s="150"/>
      <c r="L35" s="150"/>
      <c r="M35" s="150"/>
      <c r="N35" s="150"/>
      <c r="O35" s="388"/>
      <c r="P35" s="150"/>
      <c r="Q35" s="151"/>
      <c r="R35" s="151"/>
      <c r="S35" s="151">
        <f>+Q35*R35</f>
        <v>0</v>
      </c>
      <c r="T35" s="151">
        <f t="shared" si="19"/>
        <v>0</v>
      </c>
      <c r="U35" s="151"/>
      <c r="V35" s="151"/>
      <c r="W35" s="150"/>
      <c r="X35" s="150"/>
      <c r="Y35" s="150"/>
      <c r="Z35" s="150"/>
      <c r="AA35" s="150"/>
      <c r="AB35" s="150"/>
      <c r="AC35" s="150"/>
      <c r="AD35" s="150"/>
      <c r="AE35" s="151"/>
      <c r="AF35" s="151"/>
      <c r="AG35" s="151">
        <f>+AE35*AF35</f>
        <v>0</v>
      </c>
      <c r="AH35" s="151">
        <f t="shared" si="22"/>
        <v>0</v>
      </c>
      <c r="AI35" s="151"/>
      <c r="AJ35" s="151"/>
      <c r="AK35" s="150"/>
      <c r="AL35" s="150"/>
      <c r="AM35" s="150"/>
      <c r="AN35" s="150"/>
      <c r="AO35" s="150"/>
      <c r="AP35" s="150"/>
      <c r="AQ35" s="150"/>
      <c r="AR35" s="150"/>
    </row>
    <row r="36" spans="2:44" ht="15.75" thickBot="1" x14ac:dyDescent="0.3">
      <c r="B36" s="150"/>
      <c r="C36" s="150"/>
      <c r="D36" s="150"/>
      <c r="E36" s="150"/>
      <c r="F36" s="150"/>
      <c r="G36" s="150"/>
      <c r="H36" s="52"/>
      <c r="I36" s="150"/>
      <c r="J36" s="150"/>
      <c r="K36" s="150"/>
      <c r="L36" s="150"/>
      <c r="M36" s="150"/>
      <c r="N36" s="150"/>
      <c r="O36" s="388"/>
      <c r="P36" s="150"/>
      <c r="Q36" s="150"/>
      <c r="R36" s="150"/>
      <c r="S36" s="150"/>
      <c r="T36" s="150"/>
      <c r="U36" s="150"/>
      <c r="V36" s="52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52"/>
      <c r="AK36" s="150"/>
      <c r="AL36" s="150"/>
      <c r="AM36" s="150"/>
      <c r="AN36" s="150"/>
      <c r="AO36" s="150"/>
      <c r="AP36" s="150"/>
      <c r="AQ36" s="150"/>
      <c r="AR36" s="150"/>
    </row>
    <row r="37" spans="2:44" ht="15.75" thickBot="1" x14ac:dyDescent="0.3">
      <c r="B37" s="454" t="s">
        <v>305</v>
      </c>
      <c r="C37" s="454">
        <f>SUM(C27:C36)</f>
        <v>28</v>
      </c>
      <c r="D37" s="455">
        <f t="shared" ref="D37:H37" si="27">SUM(D27:D36)</f>
        <v>39348</v>
      </c>
      <c r="E37" s="455">
        <f t="shared" si="27"/>
        <v>160306</v>
      </c>
      <c r="F37" s="455">
        <f t="shared" si="27"/>
        <v>140</v>
      </c>
      <c r="G37" s="455">
        <f t="shared" si="27"/>
        <v>687.49999999999989</v>
      </c>
      <c r="H37" s="466">
        <f t="shared" si="27"/>
        <v>38660.500000000007</v>
      </c>
      <c r="I37" s="150"/>
      <c r="J37" s="150"/>
      <c r="K37" s="150"/>
      <c r="L37" s="150"/>
      <c r="M37" s="150"/>
      <c r="N37" s="150"/>
      <c r="O37" s="388"/>
      <c r="P37" s="150" t="s">
        <v>11</v>
      </c>
      <c r="Q37" s="66">
        <f>SUM(Q27:Q36)</f>
        <v>28</v>
      </c>
      <c r="R37" s="67">
        <f t="shared" ref="R37:V37" si="28">SUM(R27:R36)</f>
        <v>25463</v>
      </c>
      <c r="S37" s="67">
        <f t="shared" si="28"/>
        <v>103561</v>
      </c>
      <c r="T37" s="67">
        <f t="shared" si="28"/>
        <v>140</v>
      </c>
      <c r="U37" s="67">
        <f t="shared" si="28"/>
        <v>687.49999999999989</v>
      </c>
      <c r="V37" s="53">
        <f t="shared" si="28"/>
        <v>24775.5</v>
      </c>
      <c r="W37" s="150"/>
      <c r="X37" s="150"/>
      <c r="Y37" s="150"/>
      <c r="Z37" s="150"/>
      <c r="AA37" s="150"/>
      <c r="AB37" s="150"/>
      <c r="AC37" s="150"/>
      <c r="AD37" s="150" t="s">
        <v>11</v>
      </c>
      <c r="AE37" s="66">
        <f>SUM(AE27:AE36)</f>
        <v>28</v>
      </c>
      <c r="AF37" s="67">
        <f t="shared" ref="AF37:AJ37" si="29">SUM(AF27:AF36)</f>
        <v>26893</v>
      </c>
      <c r="AG37" s="67">
        <f t="shared" si="29"/>
        <v>110468</v>
      </c>
      <c r="AH37" s="67">
        <f t="shared" si="29"/>
        <v>140</v>
      </c>
      <c r="AI37" s="67">
        <f t="shared" si="29"/>
        <v>687.49999999999989</v>
      </c>
      <c r="AJ37" s="53">
        <f t="shared" si="29"/>
        <v>26205.5</v>
      </c>
      <c r="AK37" s="150"/>
      <c r="AL37" s="150"/>
      <c r="AM37" s="150"/>
      <c r="AN37" s="150"/>
      <c r="AO37" s="150"/>
      <c r="AP37" s="150"/>
      <c r="AQ37" s="150"/>
      <c r="AR37" s="150"/>
    </row>
    <row r="38" spans="2:44" x14ac:dyDescent="0.25"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388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</row>
    <row r="39" spans="2:44" ht="15.75" thickBot="1" x14ac:dyDescent="0.3"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388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</row>
    <row r="40" spans="2:44" x14ac:dyDescent="0.25">
      <c r="B40" s="150"/>
      <c r="C40" s="476" t="s">
        <v>7</v>
      </c>
      <c r="D40" s="477">
        <f>+(D42*E37-C37*D37)/(D42*F37-C37*C37)</f>
        <v>104.07142857142857</v>
      </c>
      <c r="E40" s="478"/>
      <c r="F40" s="150"/>
      <c r="G40" s="150"/>
      <c r="H40" s="150"/>
      <c r="I40" s="150"/>
      <c r="J40" s="150"/>
      <c r="K40" s="150"/>
      <c r="L40" s="150"/>
      <c r="M40" s="150"/>
      <c r="N40" s="150"/>
      <c r="O40" s="388"/>
      <c r="P40" s="150"/>
      <c r="Q40" s="142" t="s">
        <v>7</v>
      </c>
      <c r="R40" s="94">
        <f>+(R42*S37-Q37*R37)/(R42*T37-Q37*Q37)</f>
        <v>61.035714285714285</v>
      </c>
      <c r="S40" s="65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407" t="s">
        <v>7</v>
      </c>
      <c r="AF40" s="94">
        <f>+(AF42*AG37-AE37*AF37)/(AF42*AH37-AE37*AE37)</f>
        <v>103.42857142857143</v>
      </c>
      <c r="AG40" s="65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</row>
    <row r="41" spans="2:44" x14ac:dyDescent="0.25">
      <c r="B41" s="150"/>
      <c r="C41" s="479" t="s">
        <v>8</v>
      </c>
      <c r="D41" s="95">
        <f>+(D37*F37-C37*E37)/(D42*F37-C37*C37)</f>
        <v>5204.8571428571431</v>
      </c>
      <c r="E41" s="453"/>
      <c r="F41" s="150"/>
      <c r="G41" s="150"/>
      <c r="H41" s="150"/>
      <c r="I41" s="150"/>
      <c r="J41" s="150"/>
      <c r="K41" s="150"/>
      <c r="L41" s="150"/>
      <c r="M41" s="150"/>
      <c r="N41" s="150"/>
      <c r="O41" s="388"/>
      <c r="P41" s="150"/>
      <c r="Q41" s="142" t="s">
        <v>8</v>
      </c>
      <c r="R41" s="95">
        <f>+(R37*T37-Q37*S37)/(R42*T37-Q37*Q37)</f>
        <v>3393.4285714285716</v>
      </c>
      <c r="S41" s="151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407" t="s">
        <v>8</v>
      </c>
      <c r="AF41" s="95">
        <f>+(AF37*AH37-AE37*AG37)/(AF42*AH37-AE37*AE37)</f>
        <v>3428.1428571428573</v>
      </c>
      <c r="AG41" s="151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</row>
    <row r="42" spans="2:44" x14ac:dyDescent="0.25">
      <c r="B42" s="150"/>
      <c r="C42" s="479" t="s">
        <v>12</v>
      </c>
      <c r="D42" s="96">
        <v>7</v>
      </c>
      <c r="E42" s="453"/>
      <c r="F42" s="150"/>
      <c r="G42" s="150"/>
      <c r="H42" s="150"/>
      <c r="I42" s="150"/>
      <c r="J42" s="150"/>
      <c r="K42" s="150"/>
      <c r="L42" s="150"/>
      <c r="M42" s="150"/>
      <c r="N42" s="150"/>
      <c r="O42" s="388"/>
      <c r="P42" s="150"/>
      <c r="Q42" s="142" t="s">
        <v>12</v>
      </c>
      <c r="R42" s="96">
        <v>7</v>
      </c>
      <c r="S42" s="151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407" t="s">
        <v>12</v>
      </c>
      <c r="AF42" s="96">
        <v>7</v>
      </c>
      <c r="AG42" s="151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</row>
    <row r="43" spans="2:44" x14ac:dyDescent="0.25">
      <c r="B43" s="150"/>
      <c r="C43" s="479" t="s">
        <v>9</v>
      </c>
      <c r="D43" s="475">
        <f>+D40*D44+D41</f>
        <v>6037.4285714285716</v>
      </c>
      <c r="E43" s="480">
        <f>+D40*E44+D41</f>
        <v>6141.5</v>
      </c>
      <c r="F43" s="150"/>
      <c r="G43" s="150"/>
      <c r="H43" s="150"/>
      <c r="I43" s="150"/>
      <c r="J43" s="150"/>
      <c r="K43" s="150"/>
      <c r="L43" s="150"/>
      <c r="M43" s="150"/>
      <c r="N43" s="150"/>
      <c r="O43" s="388"/>
      <c r="P43" s="150"/>
      <c r="Q43" s="142" t="s">
        <v>9</v>
      </c>
      <c r="R43" s="503">
        <f>+R40*R44+R41</f>
        <v>3881.7142857142858</v>
      </c>
      <c r="S43" s="504">
        <f>+R40*S44+R41</f>
        <v>3942.75</v>
      </c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407" t="s">
        <v>9</v>
      </c>
      <c r="AF43" s="509">
        <f>+AF40*AF44+AF41</f>
        <v>4255.5714285714284</v>
      </c>
      <c r="AG43" s="510">
        <f>+AF40*AG44+AF41</f>
        <v>4359</v>
      </c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</row>
    <row r="44" spans="2:44" ht="15.75" thickBot="1" x14ac:dyDescent="0.3">
      <c r="B44" s="150"/>
      <c r="C44" s="481" t="s">
        <v>10</v>
      </c>
      <c r="D44" s="482">
        <f>+D42+1</f>
        <v>8</v>
      </c>
      <c r="E44" s="469">
        <f>+D42+2</f>
        <v>9</v>
      </c>
      <c r="F44" s="150"/>
      <c r="G44" s="150"/>
      <c r="H44" s="150"/>
      <c r="I44" s="150"/>
      <c r="J44" s="150"/>
      <c r="K44" s="150"/>
      <c r="L44" s="150"/>
      <c r="M44" s="150"/>
      <c r="N44" s="150"/>
      <c r="O44" s="388"/>
      <c r="P44" s="150"/>
      <c r="Q44" s="142" t="s">
        <v>10</v>
      </c>
      <c r="R44" s="96">
        <f>+R42+1</f>
        <v>8</v>
      </c>
      <c r="S44" s="151">
        <f>+R42+2</f>
        <v>9</v>
      </c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407" t="s">
        <v>10</v>
      </c>
      <c r="AF44" s="96">
        <f>+AF42+1</f>
        <v>8</v>
      </c>
      <c r="AG44" s="151">
        <f>+AF42+2</f>
        <v>9</v>
      </c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</row>
    <row r="45" spans="2:44" x14ac:dyDescent="0.25"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388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</row>
    <row r="46" spans="2:44" x14ac:dyDescent="0.25">
      <c r="O46" s="388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</row>
    <row r="47" spans="2:44" x14ac:dyDescent="0.25">
      <c r="B47" s="15"/>
      <c r="C47" s="483" t="s">
        <v>13</v>
      </c>
      <c r="D47" s="483" t="s">
        <v>15</v>
      </c>
      <c r="E47" s="49"/>
      <c r="F47" s="16"/>
      <c r="O47" s="388"/>
      <c r="P47" s="89"/>
      <c r="Q47" s="68" t="s">
        <v>13</v>
      </c>
      <c r="R47" s="68" t="s">
        <v>15</v>
      </c>
      <c r="S47" s="49"/>
      <c r="T47" s="90"/>
      <c r="U47" s="63"/>
      <c r="V47" s="63"/>
      <c r="W47" s="63"/>
      <c r="X47" s="63"/>
      <c r="Y47" s="63"/>
      <c r="Z47" s="63"/>
      <c r="AA47" s="63"/>
      <c r="AB47" s="63"/>
      <c r="AC47" s="63"/>
      <c r="AD47" s="89"/>
      <c r="AE47" s="508" t="s">
        <v>13</v>
      </c>
      <c r="AF47" s="508" t="s">
        <v>15</v>
      </c>
      <c r="AG47" s="49"/>
      <c r="AH47" s="90"/>
      <c r="AI47" s="63"/>
      <c r="AJ47" s="63"/>
      <c r="AK47" s="63"/>
      <c r="AL47" s="63"/>
      <c r="AM47" s="63"/>
      <c r="AN47" s="63"/>
      <c r="AO47" s="63"/>
      <c r="AP47" s="63"/>
      <c r="AQ47" s="63"/>
    </row>
    <row r="48" spans="2:44" x14ac:dyDescent="0.25">
      <c r="C48" s="483">
        <f>+D23</f>
        <v>8</v>
      </c>
      <c r="D48" s="10">
        <f>+D22</f>
        <v>5695.7142857142853</v>
      </c>
      <c r="E48" s="50"/>
      <c r="F48" s="16"/>
      <c r="O48" s="388"/>
      <c r="P48" s="63"/>
      <c r="Q48" s="68">
        <f>+R23</f>
        <v>8</v>
      </c>
      <c r="R48" s="81">
        <f>+R22</f>
        <v>3661.4285714285716</v>
      </c>
      <c r="S48" s="50"/>
      <c r="T48" s="90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508">
        <f>+AF23</f>
        <v>8</v>
      </c>
      <c r="AF48" s="81">
        <f>+AF22</f>
        <v>4014.4285714285711</v>
      </c>
      <c r="AG48" s="50"/>
      <c r="AH48" s="90"/>
      <c r="AI48" s="63"/>
      <c r="AJ48" s="63"/>
      <c r="AK48" s="63"/>
      <c r="AL48" s="63"/>
      <c r="AM48" s="63"/>
      <c r="AN48" s="63"/>
      <c r="AO48" s="63"/>
      <c r="AP48" s="63"/>
      <c r="AQ48" s="63"/>
    </row>
    <row r="49" spans="2:43" x14ac:dyDescent="0.25">
      <c r="C49" s="483" t="s">
        <v>51</v>
      </c>
      <c r="D49" s="18">
        <f>+CUP!L4</f>
        <v>70586.59637606045</v>
      </c>
      <c r="E49" s="49"/>
      <c r="F49" s="16"/>
      <c r="O49" s="388"/>
      <c r="P49" s="63"/>
      <c r="Q49" s="68" t="s">
        <v>51</v>
      </c>
      <c r="R49" s="18">
        <f>+CUP!L11</f>
        <v>101408.05399905064</v>
      </c>
      <c r="S49" s="49"/>
      <c r="T49" s="90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508" t="s">
        <v>51</v>
      </c>
      <c r="AF49" s="18">
        <f>+CUP!L17</f>
        <v>135741.20116630438</v>
      </c>
      <c r="AG49" s="49"/>
      <c r="AH49" s="90"/>
      <c r="AI49" s="63"/>
      <c r="AJ49" s="63"/>
      <c r="AK49" s="63"/>
      <c r="AL49" s="63"/>
      <c r="AM49" s="63"/>
      <c r="AN49" s="63"/>
      <c r="AO49" s="63"/>
      <c r="AP49" s="63"/>
      <c r="AQ49" s="63"/>
    </row>
    <row r="50" spans="2:43" x14ac:dyDescent="0.25">
      <c r="B50" t="s">
        <v>52</v>
      </c>
      <c r="C50" s="47">
        <v>0.6</v>
      </c>
      <c r="O50" s="388"/>
      <c r="P50" s="63" t="s">
        <v>52</v>
      </c>
      <c r="Q50" s="93">
        <v>0.6</v>
      </c>
      <c r="R50" s="63" t="s">
        <v>210</v>
      </c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 t="s">
        <v>52</v>
      </c>
      <c r="AE50" s="93">
        <v>0.6</v>
      </c>
      <c r="AF50" s="63" t="s">
        <v>211</v>
      </c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</row>
    <row r="51" spans="2:43" x14ac:dyDescent="0.25">
      <c r="O51" s="388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</row>
    <row r="52" spans="2:43" x14ac:dyDescent="0.25">
      <c r="B52" s="15" t="s">
        <v>16</v>
      </c>
      <c r="C52" t="s">
        <v>283</v>
      </c>
      <c r="E52" s="47">
        <v>0.03</v>
      </c>
      <c r="F52" t="s">
        <v>204</v>
      </c>
      <c r="O52" s="388"/>
      <c r="P52" s="89" t="s">
        <v>16</v>
      </c>
      <c r="Q52" s="63" t="s">
        <v>284</v>
      </c>
      <c r="R52" s="63"/>
      <c r="S52" s="93">
        <v>0.03</v>
      </c>
      <c r="T52" s="63" t="s">
        <v>204</v>
      </c>
      <c r="U52" s="63"/>
      <c r="V52" s="63"/>
      <c r="W52" s="63"/>
      <c r="X52" s="63"/>
      <c r="Y52" s="63"/>
      <c r="Z52" s="63"/>
      <c r="AA52" s="63"/>
      <c r="AB52" s="63"/>
      <c r="AC52" s="63"/>
      <c r="AD52" s="89" t="s">
        <v>16</v>
      </c>
      <c r="AE52" s="63" t="s">
        <v>285</v>
      </c>
      <c r="AF52" s="63"/>
      <c r="AG52" s="93">
        <v>0.03</v>
      </c>
      <c r="AH52" s="63" t="s">
        <v>204</v>
      </c>
      <c r="AI52" s="63"/>
      <c r="AJ52" s="63"/>
      <c r="AK52" s="63"/>
      <c r="AL52" s="63"/>
      <c r="AM52" s="63"/>
      <c r="AN52" s="63"/>
      <c r="AO52" s="63"/>
      <c r="AP52" s="63"/>
      <c r="AQ52" s="63"/>
    </row>
    <row r="53" spans="2:43" ht="15.75" thickBot="1" x14ac:dyDescent="0.3">
      <c r="O53" s="388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</row>
    <row r="54" spans="2:43" ht="15.75" thickBot="1" x14ac:dyDescent="0.3">
      <c r="C54" s="13">
        <f>+D48*E52</f>
        <v>170.87142857142857</v>
      </c>
      <c r="D54" s="51">
        <f>+D48</f>
        <v>5695.7142857142853</v>
      </c>
      <c r="E54" s="3" t="s">
        <v>17</v>
      </c>
      <c r="F54" s="157">
        <f>+D54-C54</f>
        <v>5524.8428571428567</v>
      </c>
      <c r="O54" s="388"/>
      <c r="P54" s="63"/>
      <c r="Q54" s="84">
        <f>+R48*S52</f>
        <v>109.84285714285714</v>
      </c>
      <c r="R54" s="51">
        <f>+R48</f>
        <v>3661.4285714285716</v>
      </c>
      <c r="S54" s="70" t="s">
        <v>17</v>
      </c>
      <c r="T54" s="157">
        <f>+R54-Q54</f>
        <v>3551.5857142857144</v>
      </c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84">
        <f>+AF48*AG52</f>
        <v>120.43285714285713</v>
      </c>
      <c r="AF54" s="51">
        <f>+AF48</f>
        <v>4014.4285714285711</v>
      </c>
      <c r="AG54" s="70" t="s">
        <v>17</v>
      </c>
      <c r="AH54" s="157">
        <f>+AF54-AE54</f>
        <v>3893.9957142857138</v>
      </c>
      <c r="AI54" s="63"/>
      <c r="AJ54" s="63"/>
      <c r="AK54" s="63"/>
      <c r="AL54" s="63"/>
      <c r="AM54" s="63"/>
      <c r="AN54" s="63"/>
      <c r="AO54" s="63"/>
      <c r="AP54" s="63"/>
      <c r="AQ54" s="63"/>
    </row>
    <row r="55" spans="2:43" x14ac:dyDescent="0.25">
      <c r="C55" s="474" t="s">
        <v>18</v>
      </c>
      <c r="D55" s="474" t="s">
        <v>19</v>
      </c>
      <c r="E55" s="474" t="s">
        <v>20</v>
      </c>
      <c r="F55" s="474" t="s">
        <v>21</v>
      </c>
      <c r="G55" s="474" t="s">
        <v>57</v>
      </c>
      <c r="H55" s="474" t="s">
        <v>58</v>
      </c>
      <c r="O55" s="388"/>
      <c r="P55" s="63"/>
      <c r="Q55" s="142" t="s">
        <v>18</v>
      </c>
      <c r="R55" s="142" t="s">
        <v>19</v>
      </c>
      <c r="S55" s="142" t="s">
        <v>20</v>
      </c>
      <c r="T55" s="142" t="s">
        <v>21</v>
      </c>
      <c r="U55" s="142" t="s">
        <v>57</v>
      </c>
      <c r="V55" s="142" t="s">
        <v>58</v>
      </c>
      <c r="W55" s="63"/>
      <c r="X55" s="63"/>
      <c r="Y55" s="63"/>
      <c r="Z55" s="63"/>
      <c r="AA55" s="63"/>
      <c r="AB55" s="63"/>
      <c r="AC55" s="63"/>
      <c r="AD55" s="63"/>
      <c r="AE55" s="407" t="s">
        <v>18</v>
      </c>
      <c r="AF55" s="407" t="s">
        <v>19</v>
      </c>
      <c r="AG55" s="407" t="s">
        <v>20</v>
      </c>
      <c r="AH55" s="407" t="s">
        <v>21</v>
      </c>
      <c r="AI55" s="407" t="s">
        <v>57</v>
      </c>
      <c r="AJ55" s="407" t="s">
        <v>58</v>
      </c>
      <c r="AK55" s="63"/>
      <c r="AL55" s="63"/>
      <c r="AM55" s="63"/>
      <c r="AN55" s="63"/>
      <c r="AO55" s="63"/>
      <c r="AP55" s="63"/>
      <c r="AQ55" s="63"/>
    </row>
    <row r="56" spans="2:43" x14ac:dyDescent="0.25">
      <c r="C56" s="484">
        <v>0.25</v>
      </c>
      <c r="D56" s="485">
        <v>0.255</v>
      </c>
      <c r="E56" s="485">
        <v>0.245</v>
      </c>
      <c r="F56" s="484">
        <v>0.25</v>
      </c>
      <c r="G56" s="484">
        <f>+C56</f>
        <v>0.25</v>
      </c>
      <c r="H56" s="485">
        <f>+D56</f>
        <v>0.255</v>
      </c>
      <c r="O56" s="388"/>
      <c r="P56" s="63"/>
      <c r="Q56" s="91">
        <v>0.26</v>
      </c>
      <c r="R56" s="91">
        <v>0.25</v>
      </c>
      <c r="S56" s="91">
        <v>0.245</v>
      </c>
      <c r="T56" s="91">
        <v>0.245</v>
      </c>
      <c r="U56" s="91">
        <f>+Q56</f>
        <v>0.26</v>
      </c>
      <c r="V56" s="91">
        <f>+R56</f>
        <v>0.25</v>
      </c>
      <c r="W56" s="63"/>
      <c r="X56" s="63"/>
      <c r="Y56" s="63"/>
      <c r="Z56" s="63"/>
      <c r="AA56" s="63"/>
      <c r="AB56" s="63"/>
      <c r="AC56" s="63"/>
      <c r="AD56" s="63"/>
      <c r="AE56" s="511">
        <v>0.26500000000000001</v>
      </c>
      <c r="AF56" s="511">
        <v>0.25</v>
      </c>
      <c r="AG56" s="512">
        <v>0.24</v>
      </c>
      <c r="AH56" s="511">
        <v>0.245</v>
      </c>
      <c r="AI56" s="511">
        <f>+AE56</f>
        <v>0.26500000000000001</v>
      </c>
      <c r="AJ56" s="511">
        <f>+AF56</f>
        <v>0.25</v>
      </c>
      <c r="AK56" s="63"/>
      <c r="AL56" s="63"/>
      <c r="AM56" s="63"/>
      <c r="AN56" s="63"/>
      <c r="AO56" s="63"/>
      <c r="AP56" s="63"/>
      <c r="AQ56" s="63"/>
    </row>
    <row r="57" spans="2:43" x14ac:dyDescent="0.25">
      <c r="B57" t="s">
        <v>49</v>
      </c>
      <c r="C57" s="14">
        <f>+$F$54*C56</f>
        <v>1381.2107142857142</v>
      </c>
      <c r="D57" s="14">
        <f t="shared" ref="D57:F57" si="30">+$F$54*D56</f>
        <v>1408.8349285714285</v>
      </c>
      <c r="E57" s="14">
        <f t="shared" si="30"/>
        <v>1353.5864999999999</v>
      </c>
      <c r="F57" s="14">
        <f t="shared" si="30"/>
        <v>1381.2107142857142</v>
      </c>
      <c r="G57" s="14">
        <v>1580</v>
      </c>
      <c r="H57" s="14">
        <v>1690</v>
      </c>
      <c r="O57" s="388"/>
      <c r="P57" s="63" t="s">
        <v>49</v>
      </c>
      <c r="Q57" s="85">
        <f>+$T$54*Q56</f>
        <v>923.41228571428576</v>
      </c>
      <c r="R57" s="85">
        <f t="shared" ref="R57:T57" si="31">+$T$54*R56</f>
        <v>887.8964285714286</v>
      </c>
      <c r="S57" s="85">
        <f t="shared" si="31"/>
        <v>870.13850000000002</v>
      </c>
      <c r="T57" s="85">
        <f t="shared" si="31"/>
        <v>870.13850000000002</v>
      </c>
      <c r="U57" s="85">
        <v>900</v>
      </c>
      <c r="V57" s="85">
        <v>980</v>
      </c>
      <c r="W57" s="63"/>
      <c r="X57" s="63"/>
      <c r="Y57" s="63"/>
      <c r="Z57" s="63"/>
      <c r="AA57" s="63"/>
      <c r="AB57" s="63"/>
      <c r="AC57" s="63"/>
      <c r="AD57" s="63" t="s">
        <v>49</v>
      </c>
      <c r="AE57" s="85">
        <f>+$AH$54*AE56</f>
        <v>1031.9088642857141</v>
      </c>
      <c r="AF57" s="85">
        <f t="shared" ref="AF57:AH57" si="32">+$AH$54*AF56</f>
        <v>973.49892857142845</v>
      </c>
      <c r="AG57" s="85">
        <f t="shared" si="32"/>
        <v>934.55897142857123</v>
      </c>
      <c r="AH57" s="85">
        <f t="shared" si="32"/>
        <v>954.0289499999999</v>
      </c>
      <c r="AI57" s="85">
        <v>900</v>
      </c>
      <c r="AJ57" s="85">
        <v>930</v>
      </c>
      <c r="AK57" s="63"/>
      <c r="AL57" s="63"/>
      <c r="AM57" s="63"/>
      <c r="AN57" s="63"/>
      <c r="AO57" s="63"/>
      <c r="AP57" s="63"/>
      <c r="AQ57" s="63"/>
    </row>
    <row r="58" spans="2:43" ht="15.75" thickBot="1" x14ac:dyDescent="0.3">
      <c r="B58" s="12"/>
      <c r="C58" s="4">
        <f>+ROUNDDOWN(C57,0)</f>
        <v>1381</v>
      </c>
      <c r="D58" s="4">
        <f t="shared" ref="D58:H58" si="33">+ROUNDDOWN(D57,0)</f>
        <v>1408</v>
      </c>
      <c r="E58" s="4">
        <f t="shared" si="33"/>
        <v>1353</v>
      </c>
      <c r="F58" s="4">
        <f t="shared" si="33"/>
        <v>1381</v>
      </c>
      <c r="G58" s="4">
        <f t="shared" si="33"/>
        <v>1580</v>
      </c>
      <c r="H58" s="4">
        <f t="shared" si="33"/>
        <v>1690</v>
      </c>
      <c r="O58" s="388"/>
      <c r="P58" s="83"/>
      <c r="Q58" s="71">
        <f>+ROUNDDOWN(Q57,0)</f>
        <v>923</v>
      </c>
      <c r="R58" s="71">
        <f t="shared" ref="R58:T58" si="34">+ROUNDDOWN(R57,0)</f>
        <v>887</v>
      </c>
      <c r="S58" s="71">
        <f t="shared" si="34"/>
        <v>870</v>
      </c>
      <c r="T58" s="71">
        <f t="shared" si="34"/>
        <v>870</v>
      </c>
      <c r="U58" s="71">
        <v>4200</v>
      </c>
      <c r="V58" s="71">
        <v>4200</v>
      </c>
      <c r="W58" s="63"/>
      <c r="X58" s="63"/>
      <c r="Y58" s="63"/>
      <c r="Z58" s="63"/>
      <c r="AA58" s="63"/>
      <c r="AB58" s="63"/>
      <c r="AC58" s="63"/>
      <c r="AD58" s="83"/>
      <c r="AE58" s="71">
        <f>+ROUNDDOWN(AE57,0)</f>
        <v>1031</v>
      </c>
      <c r="AF58" s="71">
        <f t="shared" ref="AF58:AJ58" si="35">+ROUNDDOWN(AF57,0)</f>
        <v>973</v>
      </c>
      <c r="AG58" s="71">
        <f t="shared" si="35"/>
        <v>934</v>
      </c>
      <c r="AH58" s="71">
        <f t="shared" si="35"/>
        <v>954</v>
      </c>
      <c r="AI58" s="71">
        <f t="shared" si="35"/>
        <v>900</v>
      </c>
      <c r="AJ58" s="71">
        <f t="shared" si="35"/>
        <v>930</v>
      </c>
      <c r="AK58" s="63"/>
      <c r="AL58" s="63"/>
      <c r="AM58" s="63"/>
      <c r="AN58" s="63"/>
      <c r="AO58" s="63"/>
      <c r="AP58" s="63"/>
      <c r="AQ58" s="63"/>
    </row>
    <row r="59" spans="2:43" x14ac:dyDescent="0.25">
      <c r="B59" t="s">
        <v>14</v>
      </c>
      <c r="C59" s="11">
        <f>+C58*$D$49</f>
        <v>97480089.595339477</v>
      </c>
      <c r="D59" s="11">
        <f t="shared" ref="D59:H59" si="36">+D58*$D$49</f>
        <v>99385927.697493106</v>
      </c>
      <c r="E59" s="11">
        <f t="shared" si="36"/>
        <v>95503664.896809787</v>
      </c>
      <c r="F59" s="11">
        <f t="shared" si="36"/>
        <v>97480089.595339477</v>
      </c>
      <c r="G59" s="11">
        <f t="shared" si="36"/>
        <v>111526822.27417551</v>
      </c>
      <c r="H59" s="11">
        <f t="shared" si="36"/>
        <v>119291347.87554216</v>
      </c>
      <c r="O59" s="388"/>
      <c r="P59" s="63" t="s">
        <v>14</v>
      </c>
      <c r="Q59" s="11">
        <f>+Q58*$R$49</f>
        <v>93599633.841123745</v>
      </c>
      <c r="R59" s="11">
        <f t="shared" ref="R59:V59" si="37">+R58*$R$49</f>
        <v>89948943.897157907</v>
      </c>
      <c r="S59" s="11">
        <f t="shared" si="37"/>
        <v>88225006.979174048</v>
      </c>
      <c r="T59" s="11">
        <f t="shared" si="37"/>
        <v>88225006.979174048</v>
      </c>
      <c r="U59" s="11">
        <f t="shared" si="37"/>
        <v>425913826.7960127</v>
      </c>
      <c r="V59" s="11">
        <f t="shared" si="37"/>
        <v>425913826.7960127</v>
      </c>
      <c r="W59" s="63"/>
      <c r="X59" s="63"/>
      <c r="Y59" s="63"/>
      <c r="Z59" s="63"/>
      <c r="AA59" s="63"/>
      <c r="AB59" s="63"/>
      <c r="AC59" s="63"/>
      <c r="AD59" s="63" t="s">
        <v>14</v>
      </c>
      <c r="AE59" s="11">
        <f>+AE58*$AF$49</f>
        <v>139949178.40245983</v>
      </c>
      <c r="AF59" s="11">
        <f t="shared" ref="AF59:AJ59" si="38">+AF58*$AF$49</f>
        <v>132076188.73481417</v>
      </c>
      <c r="AG59" s="11">
        <f t="shared" si="38"/>
        <v>126782281.88932829</v>
      </c>
      <c r="AH59" s="11">
        <f t="shared" si="38"/>
        <v>129497105.91265438</v>
      </c>
      <c r="AI59" s="11">
        <f t="shared" si="38"/>
        <v>122167081.04967394</v>
      </c>
      <c r="AJ59" s="11">
        <f t="shared" si="38"/>
        <v>126239317.08466308</v>
      </c>
      <c r="AK59" s="63"/>
      <c r="AL59" s="63"/>
      <c r="AM59" s="63"/>
      <c r="AN59" s="63"/>
      <c r="AO59" s="63"/>
      <c r="AP59" s="63"/>
      <c r="AQ59" s="63"/>
    </row>
    <row r="60" spans="2:43" x14ac:dyDescent="0.25">
      <c r="O60" s="388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</row>
    <row r="61" spans="2:43" x14ac:dyDescent="0.25">
      <c r="O61" s="388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</row>
    <row r="62" spans="2:43" x14ac:dyDescent="0.25">
      <c r="C62" t="s">
        <v>59</v>
      </c>
      <c r="O62" s="388"/>
      <c r="P62" s="63"/>
      <c r="Q62" s="63" t="s">
        <v>59</v>
      </c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 t="s">
        <v>59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</row>
    <row r="63" spans="2:43" x14ac:dyDescent="0.25">
      <c r="B63" s="15" t="s">
        <v>15</v>
      </c>
      <c r="C63" s="474" t="s">
        <v>18</v>
      </c>
      <c r="D63" s="474" t="s">
        <v>19</v>
      </c>
      <c r="E63" s="474" t="s">
        <v>20</v>
      </c>
      <c r="F63" s="474" t="s">
        <v>21</v>
      </c>
      <c r="G63" s="474" t="s">
        <v>57</v>
      </c>
      <c r="H63" s="474" t="s">
        <v>58</v>
      </c>
      <c r="O63" s="388"/>
      <c r="P63" s="89" t="s">
        <v>281</v>
      </c>
      <c r="Q63" s="69" t="s">
        <v>18</v>
      </c>
      <c r="R63" s="69" t="s">
        <v>19</v>
      </c>
      <c r="S63" s="69" t="s">
        <v>20</v>
      </c>
      <c r="T63" s="69" t="s">
        <v>21</v>
      </c>
      <c r="U63" s="88" t="s">
        <v>57</v>
      </c>
      <c r="V63" s="88" t="s">
        <v>58</v>
      </c>
      <c r="W63" s="63"/>
      <c r="X63" s="63"/>
      <c r="Y63" s="63"/>
      <c r="Z63" s="63"/>
      <c r="AA63" s="63"/>
      <c r="AB63" s="63"/>
      <c r="AC63" s="63"/>
      <c r="AD63" s="513" t="s">
        <v>286</v>
      </c>
      <c r="AE63" s="407" t="s">
        <v>18</v>
      </c>
      <c r="AF63" s="407" t="s">
        <v>19</v>
      </c>
      <c r="AG63" s="407" t="s">
        <v>20</v>
      </c>
      <c r="AH63" s="407" t="s">
        <v>21</v>
      </c>
      <c r="AI63" s="407" t="s">
        <v>57</v>
      </c>
      <c r="AJ63" s="407" t="s">
        <v>58</v>
      </c>
      <c r="AK63" s="63"/>
      <c r="AL63" s="63"/>
      <c r="AM63" s="63"/>
      <c r="AN63" s="63"/>
      <c r="AO63" s="63"/>
      <c r="AP63" s="63"/>
      <c r="AQ63" s="63"/>
    </row>
    <row r="64" spans="2:43" x14ac:dyDescent="0.25">
      <c r="B64" s="474" t="s">
        <v>18</v>
      </c>
      <c r="C64" s="7">
        <f>+C50*C59</f>
        <v>58488053.757203683</v>
      </c>
      <c r="D64" s="7">
        <f>+C59-C64</f>
        <v>38992035.838135794</v>
      </c>
      <c r="O64" s="388"/>
      <c r="P64" s="69" t="s">
        <v>18</v>
      </c>
      <c r="Q64" s="7">
        <f>+Q50*Q59</f>
        <v>56159780.304674245</v>
      </c>
      <c r="R64" s="7">
        <f>+Q59-Q64</f>
        <v>37439853.536449499</v>
      </c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407" t="s">
        <v>18</v>
      </c>
      <c r="AE64" s="7">
        <f>+AE50*AE59</f>
        <v>83969507.041475892</v>
      </c>
      <c r="AF64" s="7">
        <f>+AE59-AE64</f>
        <v>55979671.360983938</v>
      </c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</row>
    <row r="65" spans="2:43" x14ac:dyDescent="0.25">
      <c r="B65" s="474" t="s">
        <v>19</v>
      </c>
      <c r="D65" s="7">
        <f>+C50*D59</f>
        <v>59631556.618495859</v>
      </c>
      <c r="E65" s="8">
        <f>+D59-D65</f>
        <v>39754371.078997247</v>
      </c>
      <c r="O65" s="388"/>
      <c r="P65" s="69" t="s">
        <v>19</v>
      </c>
      <c r="Q65" s="63"/>
      <c r="R65" s="7">
        <f>+Q50*R59</f>
        <v>53969366.338294744</v>
      </c>
      <c r="S65" s="8">
        <f>+R59-R65</f>
        <v>35979577.558863163</v>
      </c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407" t="s">
        <v>19</v>
      </c>
      <c r="AE65" s="63"/>
      <c r="AF65" s="7">
        <f>+AE50*AF59</f>
        <v>79245713.240888491</v>
      </c>
      <c r="AG65" s="8">
        <f>+AF59-AF65</f>
        <v>52830475.493925676</v>
      </c>
      <c r="AH65" s="63"/>
      <c r="AI65" s="63"/>
      <c r="AJ65" s="63"/>
      <c r="AK65" s="63"/>
      <c r="AL65" s="63"/>
      <c r="AM65" s="63"/>
      <c r="AN65" s="63"/>
      <c r="AO65" s="63"/>
      <c r="AP65" s="63"/>
      <c r="AQ65" s="63"/>
    </row>
    <row r="66" spans="2:43" ht="1.5" customHeight="1" x14ac:dyDescent="0.25">
      <c r="B66" s="474" t="s">
        <v>21</v>
      </c>
      <c r="E66" s="8">
        <f>+C50*E59</f>
        <v>57302198.938085869</v>
      </c>
      <c r="F66" s="8">
        <f>+E59-E66</f>
        <v>38201465.958723918</v>
      </c>
      <c r="G66" s="8"/>
      <c r="H66" s="8"/>
      <c r="O66" s="388"/>
      <c r="P66" s="69" t="s">
        <v>21</v>
      </c>
      <c r="Q66" s="63"/>
      <c r="R66" s="63"/>
      <c r="S66" s="8">
        <f>+Q50*S59</f>
        <v>52935004.187504426</v>
      </c>
      <c r="T66" s="8">
        <f>+S59-S66</f>
        <v>35290002.791669622</v>
      </c>
      <c r="U66" s="8"/>
      <c r="V66" s="8"/>
      <c r="W66" s="63"/>
      <c r="X66" s="63"/>
      <c r="Y66" s="63"/>
      <c r="Z66" s="63"/>
      <c r="AA66" s="63"/>
      <c r="AB66" s="63"/>
      <c r="AC66" s="63"/>
      <c r="AD66" s="407" t="s">
        <v>21</v>
      </c>
      <c r="AE66" s="63"/>
      <c r="AF66" s="63"/>
      <c r="AG66" s="8">
        <f>+AE50*AG59</f>
        <v>76069369.133596972</v>
      </c>
      <c r="AH66" s="8">
        <f>+AG59-AG66</f>
        <v>50712912.755731314</v>
      </c>
      <c r="AI66" s="8"/>
      <c r="AJ66" s="8"/>
      <c r="AK66" s="63"/>
      <c r="AL66" s="63"/>
      <c r="AM66" s="63"/>
      <c r="AN66" s="63"/>
      <c r="AO66" s="63"/>
      <c r="AP66" s="63"/>
      <c r="AQ66" s="63"/>
    </row>
    <row r="67" spans="2:43" ht="24.75" customHeight="1" thickBot="1" x14ac:dyDescent="0.3">
      <c r="B67" s="474" t="s">
        <v>21</v>
      </c>
      <c r="C67" s="495"/>
      <c r="D67" s="4"/>
      <c r="E67" s="4"/>
      <c r="F67" s="9">
        <f>+F59*C50</f>
        <v>58488053.757203683</v>
      </c>
      <c r="G67" s="9">
        <f>+F59-F67</f>
        <v>38992035.838135794</v>
      </c>
      <c r="H67" s="9"/>
      <c r="O67" s="388"/>
      <c r="P67" s="69" t="s">
        <v>21</v>
      </c>
      <c r="Q67" s="71"/>
      <c r="R67" s="71"/>
      <c r="S67" s="71"/>
      <c r="T67" s="9">
        <f>+T59*Q50</f>
        <v>52935004.187504426</v>
      </c>
      <c r="U67" s="9">
        <f>+T59-T67</f>
        <v>35290002.791669622</v>
      </c>
      <c r="V67" s="9"/>
      <c r="W67" s="63"/>
      <c r="X67" s="63"/>
      <c r="Y67" s="63"/>
      <c r="Z67" s="63"/>
      <c r="AA67" s="63"/>
      <c r="AB67" s="63"/>
      <c r="AC67" s="63"/>
      <c r="AD67" s="407" t="s">
        <v>21</v>
      </c>
      <c r="AE67" s="71"/>
      <c r="AF67" s="71"/>
      <c r="AG67" s="71"/>
      <c r="AH67" s="9">
        <f>+AH59*AE50</f>
        <v>77698263.547592625</v>
      </c>
      <c r="AI67" s="9">
        <f>+AH59-AH67</f>
        <v>51798842.36506176</v>
      </c>
      <c r="AJ67" s="9"/>
      <c r="AK67" s="63"/>
      <c r="AL67" s="63"/>
      <c r="AM67" s="63"/>
      <c r="AN67" s="63"/>
      <c r="AO67" s="63"/>
      <c r="AP67" s="63"/>
      <c r="AQ67" s="63"/>
    </row>
    <row r="68" spans="2:43" ht="20.25" customHeight="1" x14ac:dyDescent="0.25">
      <c r="C68" s="8">
        <f>+C64</f>
        <v>58488053.757203683</v>
      </c>
      <c r="D68" s="8">
        <f>+D64+D65</f>
        <v>98623592.45663166</v>
      </c>
      <c r="E68" s="8">
        <f>+E65+E66</f>
        <v>97056570.017083108</v>
      </c>
      <c r="F68" s="8">
        <f>+F66+F67</f>
        <v>96689519.715927601</v>
      </c>
      <c r="G68" s="8">
        <f>+G66+G67</f>
        <v>38992035.838135794</v>
      </c>
      <c r="H68" s="8">
        <f>+H66+H67</f>
        <v>0</v>
      </c>
      <c r="O68" s="388"/>
      <c r="P68" s="63"/>
      <c r="Q68" s="8">
        <f>+Q64</f>
        <v>56159780.304674245</v>
      </c>
      <c r="R68" s="8">
        <f>+R64+R65</f>
        <v>91409219.874744236</v>
      </c>
      <c r="S68" s="8">
        <f>+S65+S66</f>
        <v>88914581.746367589</v>
      </c>
      <c r="T68" s="8">
        <f>+T66+T67</f>
        <v>88225006.979174048</v>
      </c>
      <c r="U68" s="8">
        <f>+U66+U67</f>
        <v>35290002.791669622</v>
      </c>
      <c r="V68" s="8">
        <f>+V66+V67</f>
        <v>0</v>
      </c>
      <c r="W68" s="63"/>
      <c r="X68" s="63"/>
      <c r="Y68" s="63"/>
      <c r="Z68" s="63"/>
      <c r="AA68" s="63"/>
      <c r="AB68" s="63"/>
      <c r="AC68" s="63"/>
      <c r="AD68" s="63"/>
      <c r="AE68" s="8">
        <f>+AE64</f>
        <v>83969507.041475892</v>
      </c>
      <c r="AF68" s="8">
        <f>+AF64+AF65</f>
        <v>135225384.60187244</v>
      </c>
      <c r="AG68" s="8">
        <f>+AG65+AG66</f>
        <v>128899844.62752265</v>
      </c>
      <c r="AH68" s="8">
        <f>+AH66+AH67</f>
        <v>128411176.30332394</v>
      </c>
      <c r="AI68" s="8">
        <f>+AI66+AI67</f>
        <v>51798842.36506176</v>
      </c>
      <c r="AJ68" s="8">
        <f>+AJ66+AJ67</f>
        <v>0</v>
      </c>
      <c r="AK68" s="63"/>
      <c r="AL68" s="63"/>
      <c r="AM68" s="63"/>
      <c r="AN68" s="63"/>
      <c r="AO68" s="63"/>
      <c r="AP68" s="63"/>
      <c r="AQ68" s="63"/>
    </row>
    <row r="69" spans="2:43" ht="15.75" thickBot="1" x14ac:dyDescent="0.3">
      <c r="C69" s="8"/>
      <c r="D69" s="8"/>
      <c r="E69" s="8"/>
      <c r="F69" s="8"/>
      <c r="G69" s="8"/>
      <c r="O69" s="388"/>
      <c r="P69" s="63"/>
      <c r="Q69" s="8"/>
      <c r="R69" s="8"/>
      <c r="S69" s="8"/>
      <c r="T69" s="8"/>
      <c r="U69" s="8"/>
      <c r="V69" s="63"/>
      <c r="W69" s="63"/>
      <c r="X69" s="63"/>
      <c r="Y69" s="63"/>
      <c r="Z69" s="63"/>
      <c r="AA69" s="63"/>
      <c r="AB69" s="63"/>
      <c r="AC69" s="63"/>
      <c r="AD69" s="63"/>
      <c r="AE69" s="8"/>
      <c r="AF69" s="8"/>
      <c r="AG69" s="8"/>
      <c r="AH69" s="8"/>
      <c r="AI69" s="8"/>
      <c r="AJ69" s="63"/>
      <c r="AK69" s="63"/>
      <c r="AL69" s="63"/>
      <c r="AM69" s="63"/>
      <c r="AN69" s="63"/>
      <c r="AO69" s="63"/>
      <c r="AP69" s="63"/>
      <c r="AQ69" s="63"/>
    </row>
    <row r="70" spans="2:43" x14ac:dyDescent="0.25">
      <c r="B70" s="430"/>
      <c r="C70" s="431"/>
      <c r="D70" s="431"/>
      <c r="E70" s="431"/>
      <c r="F70" s="431"/>
      <c r="G70" s="431"/>
      <c r="H70" s="431"/>
      <c r="I70" s="431"/>
      <c r="J70" s="431"/>
      <c r="K70" s="431"/>
      <c r="L70" s="431"/>
      <c r="M70" s="431"/>
      <c r="N70" s="431"/>
      <c r="O70" s="432"/>
      <c r="P70" s="431"/>
      <c r="Q70" s="431"/>
      <c r="R70" s="431"/>
      <c r="S70" s="431"/>
      <c r="T70" s="431"/>
      <c r="U70" s="431"/>
      <c r="V70" s="431"/>
      <c r="W70" s="431"/>
      <c r="X70" s="431"/>
      <c r="Y70" s="431"/>
      <c r="Z70" s="431"/>
      <c r="AA70" s="431"/>
      <c r="AB70" s="431"/>
      <c r="AC70" s="431"/>
      <c r="AD70" s="431"/>
      <c r="AE70" s="431"/>
      <c r="AF70" s="431"/>
      <c r="AG70" s="431"/>
      <c r="AH70" s="431"/>
      <c r="AI70" s="431"/>
      <c r="AJ70" s="431"/>
      <c r="AK70" s="431"/>
      <c r="AL70" s="431"/>
      <c r="AM70" s="433"/>
      <c r="AN70" s="63"/>
      <c r="AO70" s="63"/>
      <c r="AP70" s="63"/>
      <c r="AQ70" s="63"/>
    </row>
    <row r="71" spans="2:43" x14ac:dyDescent="0.25">
      <c r="B71" s="441" t="s">
        <v>302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388"/>
      <c r="P71" s="422" t="s">
        <v>22</v>
      </c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422" t="s">
        <v>22</v>
      </c>
      <c r="AE71" s="117"/>
      <c r="AF71" s="117"/>
      <c r="AG71" s="117"/>
      <c r="AH71" s="117"/>
      <c r="AI71" s="117"/>
      <c r="AJ71" s="117"/>
      <c r="AK71" s="117"/>
      <c r="AL71" s="117"/>
      <c r="AM71" s="434"/>
      <c r="AN71" s="63"/>
      <c r="AO71" s="63"/>
      <c r="AP71" s="63"/>
      <c r="AQ71" s="63"/>
    </row>
    <row r="72" spans="2:43" ht="15.75" thickBot="1" x14ac:dyDescent="0.3">
      <c r="B72" s="435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388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434"/>
      <c r="AN72" s="63"/>
      <c r="AO72" s="63"/>
      <c r="AP72" s="63"/>
      <c r="AQ72" s="63"/>
    </row>
    <row r="73" spans="2:43" ht="15.75" thickBot="1" x14ac:dyDescent="0.3">
      <c r="B73" s="486" t="s">
        <v>15</v>
      </c>
      <c r="C73" s="487" t="s">
        <v>18</v>
      </c>
      <c r="D73" s="487" t="s">
        <v>19</v>
      </c>
      <c r="E73" s="487" t="s">
        <v>20</v>
      </c>
      <c r="F73" s="487" t="s">
        <v>21</v>
      </c>
      <c r="G73" s="487" t="s">
        <v>57</v>
      </c>
      <c r="H73" s="488" t="s">
        <v>58</v>
      </c>
      <c r="I73" s="117"/>
      <c r="J73" s="117"/>
      <c r="K73" s="117"/>
      <c r="L73" s="117"/>
      <c r="M73" s="117"/>
      <c r="N73" s="117"/>
      <c r="O73" s="388"/>
      <c r="P73" s="146" t="s">
        <v>281</v>
      </c>
      <c r="Q73" s="146" t="s">
        <v>18</v>
      </c>
      <c r="R73" s="146" t="s">
        <v>19</v>
      </c>
      <c r="S73" s="146" t="s">
        <v>20</v>
      </c>
      <c r="T73" s="146" t="s">
        <v>21</v>
      </c>
      <c r="U73" s="146" t="s">
        <v>57</v>
      </c>
      <c r="V73" s="146" t="s">
        <v>58</v>
      </c>
      <c r="W73" s="117"/>
      <c r="X73" s="117"/>
      <c r="Y73" s="117"/>
      <c r="Z73" s="117"/>
      <c r="AA73" s="117"/>
      <c r="AB73" s="117"/>
      <c r="AC73" s="117"/>
      <c r="AD73" s="514" t="s">
        <v>286</v>
      </c>
      <c r="AE73" s="514" t="s">
        <v>18</v>
      </c>
      <c r="AF73" s="514" t="s">
        <v>19</v>
      </c>
      <c r="AG73" s="514" t="s">
        <v>20</v>
      </c>
      <c r="AH73" s="514" t="s">
        <v>21</v>
      </c>
      <c r="AI73" s="514" t="s">
        <v>57</v>
      </c>
      <c r="AJ73" s="514" t="s">
        <v>58</v>
      </c>
      <c r="AK73" s="117"/>
      <c r="AL73" s="117"/>
      <c r="AM73" s="434"/>
      <c r="AN73" s="63"/>
      <c r="AO73" s="63"/>
      <c r="AP73" s="63"/>
      <c r="AQ73" s="63"/>
    </row>
    <row r="74" spans="2:43" x14ac:dyDescent="0.25">
      <c r="B74" s="489" t="s">
        <v>23</v>
      </c>
      <c r="C74" s="416">
        <f>+C57</f>
        <v>1381.2107142857142</v>
      </c>
      <c r="D74" s="416">
        <f t="shared" ref="D74:H74" si="39">+D57</f>
        <v>1408.8349285714285</v>
      </c>
      <c r="E74" s="416">
        <f t="shared" si="39"/>
        <v>1353.5864999999999</v>
      </c>
      <c r="F74" s="416">
        <f t="shared" si="39"/>
        <v>1381.2107142857142</v>
      </c>
      <c r="G74" s="416">
        <f t="shared" si="39"/>
        <v>1580</v>
      </c>
      <c r="H74" s="418">
        <f t="shared" si="39"/>
        <v>1690</v>
      </c>
      <c r="I74" s="117"/>
      <c r="J74" s="117"/>
      <c r="K74" s="117"/>
      <c r="L74" s="117"/>
      <c r="M74" s="117"/>
      <c r="N74" s="117"/>
      <c r="O74" s="388"/>
      <c r="P74" s="117" t="s">
        <v>23</v>
      </c>
      <c r="Q74" s="425">
        <f>+Q57</f>
        <v>923.41228571428576</v>
      </c>
      <c r="R74" s="425">
        <f t="shared" ref="R74:V74" si="40">+R57</f>
        <v>887.8964285714286</v>
      </c>
      <c r="S74" s="425">
        <f t="shared" si="40"/>
        <v>870.13850000000002</v>
      </c>
      <c r="T74" s="425">
        <f t="shared" si="40"/>
        <v>870.13850000000002</v>
      </c>
      <c r="U74" s="425">
        <f t="shared" si="40"/>
        <v>900</v>
      </c>
      <c r="V74" s="425">
        <f t="shared" si="40"/>
        <v>980</v>
      </c>
      <c r="W74" s="117"/>
      <c r="X74" s="117"/>
      <c r="Y74" s="117" t="s">
        <v>24</v>
      </c>
      <c r="Z74" s="117"/>
      <c r="AA74" s="117"/>
      <c r="AB74" s="117"/>
      <c r="AC74" s="117"/>
      <c r="AD74" s="514" t="s">
        <v>23</v>
      </c>
      <c r="AE74" s="425">
        <f>+AE57</f>
        <v>1031.9088642857141</v>
      </c>
      <c r="AF74" s="425">
        <f t="shared" ref="AF74:AJ74" si="41">+AF57</f>
        <v>973.49892857142845</v>
      </c>
      <c r="AG74" s="425">
        <f t="shared" si="41"/>
        <v>934.55897142857123</v>
      </c>
      <c r="AH74" s="425">
        <f t="shared" si="41"/>
        <v>954.0289499999999</v>
      </c>
      <c r="AI74" s="425">
        <f t="shared" si="41"/>
        <v>900</v>
      </c>
      <c r="AJ74" s="425">
        <f t="shared" si="41"/>
        <v>930</v>
      </c>
      <c r="AK74" s="117"/>
      <c r="AL74" s="117"/>
      <c r="AM74" s="434" t="s">
        <v>24</v>
      </c>
      <c r="AN74" s="63"/>
      <c r="AO74" s="63"/>
      <c r="AP74" s="63"/>
      <c r="AQ74" s="63"/>
    </row>
    <row r="75" spans="2:43" x14ac:dyDescent="0.25">
      <c r="B75" s="490" t="s">
        <v>25</v>
      </c>
      <c r="C75" s="413">
        <f>+(AVERAGE(C74,D74))*0.2</f>
        <v>279.00456428571425</v>
      </c>
      <c r="D75" s="413">
        <f t="shared" ref="D75:G75" si="42">+(AVERAGE(D74,E74))*0.2</f>
        <v>276.24214285714282</v>
      </c>
      <c r="E75" s="413">
        <f t="shared" si="42"/>
        <v>273.47972142857145</v>
      </c>
      <c r="F75" s="413">
        <f t="shared" si="42"/>
        <v>296.12107142857138</v>
      </c>
      <c r="G75" s="413">
        <f t="shared" si="42"/>
        <v>327</v>
      </c>
      <c r="H75" s="420">
        <f t="shared" ref="H75" si="43">+I74*0.2</f>
        <v>0</v>
      </c>
      <c r="I75" s="117"/>
      <c r="J75" s="117"/>
      <c r="K75" s="117"/>
      <c r="L75" s="117"/>
      <c r="M75" s="117"/>
      <c r="N75" s="117"/>
      <c r="O75" s="388"/>
      <c r="P75" s="117" t="s">
        <v>25</v>
      </c>
      <c r="Q75" s="426">
        <f>+(AVERAGE(Q74,R74))*0.2</f>
        <v>181.13087142857145</v>
      </c>
      <c r="R75" s="426">
        <f t="shared" ref="R75:U75" si="44">+(AVERAGE(R74,S74))*0.2</f>
        <v>175.80349285714288</v>
      </c>
      <c r="S75" s="426">
        <f t="shared" si="44"/>
        <v>174.02770000000001</v>
      </c>
      <c r="T75" s="426">
        <f t="shared" si="44"/>
        <v>177.01385000000002</v>
      </c>
      <c r="U75" s="426">
        <f t="shared" si="44"/>
        <v>188</v>
      </c>
      <c r="V75" s="426">
        <f t="shared" ref="V75" si="45">+W74*0.2</f>
        <v>0</v>
      </c>
      <c r="W75" s="117"/>
      <c r="X75" s="117"/>
      <c r="Y75" s="117" t="s">
        <v>24</v>
      </c>
      <c r="Z75" s="117"/>
      <c r="AA75" s="117"/>
      <c r="AB75" s="117"/>
      <c r="AC75" s="117"/>
      <c r="AD75" s="514" t="s">
        <v>25</v>
      </c>
      <c r="AE75" s="426">
        <f>+(AVERAGE(AE74,AF74))*0.2</f>
        <v>200.54077928571428</v>
      </c>
      <c r="AF75" s="426">
        <f t="shared" ref="AF75:AI75" si="46">+(AVERAGE(AF74,AG74))*0.2</f>
        <v>190.80579</v>
      </c>
      <c r="AG75" s="426">
        <f t="shared" si="46"/>
        <v>188.85879214285711</v>
      </c>
      <c r="AH75" s="426">
        <f t="shared" si="46"/>
        <v>185.402895</v>
      </c>
      <c r="AI75" s="426">
        <f t="shared" si="46"/>
        <v>183</v>
      </c>
      <c r="AJ75" s="426">
        <f t="shared" ref="AJ75" si="47">+AK74*0.2</f>
        <v>0</v>
      </c>
      <c r="AK75" s="117"/>
      <c r="AL75" s="117"/>
      <c r="AM75" s="434" t="s">
        <v>24</v>
      </c>
      <c r="AN75" s="63"/>
      <c r="AO75" s="63"/>
      <c r="AP75" s="63"/>
      <c r="AQ75" s="63"/>
    </row>
    <row r="76" spans="2:43" ht="15.75" thickBot="1" x14ac:dyDescent="0.3">
      <c r="B76" s="490" t="s">
        <v>26</v>
      </c>
      <c r="C76" s="413">
        <v>40</v>
      </c>
      <c r="D76" s="413">
        <f>+C75</f>
        <v>279.00456428571425</v>
      </c>
      <c r="E76" s="413">
        <f t="shared" ref="E76:H76" si="48">+D75</f>
        <v>276.24214285714282</v>
      </c>
      <c r="F76" s="413">
        <f t="shared" si="48"/>
        <v>273.47972142857145</v>
      </c>
      <c r="G76" s="413">
        <f t="shared" si="48"/>
        <v>296.12107142857138</v>
      </c>
      <c r="H76" s="420">
        <f t="shared" si="48"/>
        <v>327</v>
      </c>
      <c r="I76" s="117"/>
      <c r="J76" s="117"/>
      <c r="K76" s="117"/>
      <c r="L76" s="117"/>
      <c r="M76" s="117"/>
      <c r="N76" s="117"/>
      <c r="O76" s="388"/>
      <c r="P76" s="117" t="s">
        <v>26</v>
      </c>
      <c r="Q76" s="86">
        <v>10</v>
      </c>
      <c r="R76" s="86">
        <f>+Q75</f>
        <v>181.13087142857145</v>
      </c>
      <c r="S76" s="86">
        <f t="shared" ref="S76:V76" si="49">+R75</f>
        <v>175.80349285714288</v>
      </c>
      <c r="T76" s="86">
        <f t="shared" si="49"/>
        <v>174.02770000000001</v>
      </c>
      <c r="U76" s="86">
        <f t="shared" si="49"/>
        <v>177.01385000000002</v>
      </c>
      <c r="V76" s="86">
        <f t="shared" si="49"/>
        <v>188</v>
      </c>
      <c r="W76" s="117"/>
      <c r="X76" s="117"/>
      <c r="Y76" s="117" t="s">
        <v>27</v>
      </c>
      <c r="Z76" s="117"/>
      <c r="AA76" s="117"/>
      <c r="AB76" s="117"/>
      <c r="AC76" s="117"/>
      <c r="AD76" s="514" t="s">
        <v>26</v>
      </c>
      <c r="AE76" s="86">
        <v>100</v>
      </c>
      <c r="AF76" s="86">
        <f>+AE75</f>
        <v>200.54077928571428</v>
      </c>
      <c r="AG76" s="86">
        <f t="shared" ref="AG76:AJ76" si="50">+AF75</f>
        <v>190.80579</v>
      </c>
      <c r="AH76" s="86">
        <f t="shared" si="50"/>
        <v>188.85879214285711</v>
      </c>
      <c r="AI76" s="86">
        <f t="shared" si="50"/>
        <v>185.402895</v>
      </c>
      <c r="AJ76" s="86">
        <f t="shared" si="50"/>
        <v>183</v>
      </c>
      <c r="AK76" s="117"/>
      <c r="AL76" s="117"/>
      <c r="AM76" s="434" t="s">
        <v>27</v>
      </c>
      <c r="AN76" s="63"/>
      <c r="AO76" s="63"/>
      <c r="AP76" s="63"/>
      <c r="AQ76" s="63"/>
    </row>
    <row r="77" spans="2:43" ht="15.75" thickBot="1" x14ac:dyDescent="0.3">
      <c r="B77" s="436"/>
      <c r="C77" s="415">
        <f>+C74+C75-C76</f>
        <v>1620.2152785714284</v>
      </c>
      <c r="D77" s="415">
        <f t="shared" ref="D77:H77" si="51">+D74+D75-D76</f>
        <v>1406.0725071428571</v>
      </c>
      <c r="E77" s="415">
        <f t="shared" si="51"/>
        <v>1350.8240785714283</v>
      </c>
      <c r="F77" s="415">
        <f t="shared" si="51"/>
        <v>1403.8520642857143</v>
      </c>
      <c r="G77" s="415">
        <f t="shared" si="51"/>
        <v>1610.8789285714286</v>
      </c>
      <c r="H77" s="421">
        <f t="shared" si="51"/>
        <v>1363</v>
      </c>
      <c r="I77" s="117"/>
      <c r="J77" s="117"/>
      <c r="K77" s="117"/>
      <c r="L77" s="117"/>
      <c r="M77" s="117"/>
      <c r="N77" s="117"/>
      <c r="O77" s="388"/>
      <c r="P77" s="117"/>
      <c r="Q77" s="427">
        <f>+Q74+Q75-Q76</f>
        <v>1094.5431571428571</v>
      </c>
      <c r="R77" s="427">
        <f t="shared" ref="R77" si="52">+R74+R75-R76</f>
        <v>882.56905000000006</v>
      </c>
      <c r="S77" s="427">
        <f t="shared" ref="S77" si="53">+S74+S75-S76</f>
        <v>868.36270714285729</v>
      </c>
      <c r="T77" s="427">
        <f t="shared" ref="T77" si="54">+T74+T75-T76</f>
        <v>873.12465000000009</v>
      </c>
      <c r="U77" s="427">
        <f t="shared" ref="U77" si="55">+U74+U75-U76</f>
        <v>910.98614999999995</v>
      </c>
      <c r="V77" s="427">
        <f t="shared" ref="V77" si="56">+V74+V75-V76</f>
        <v>792</v>
      </c>
      <c r="W77" s="117" t="s">
        <v>28</v>
      </c>
      <c r="X77" s="117"/>
      <c r="Y77" s="117"/>
      <c r="Z77" s="117"/>
      <c r="AA77" s="117"/>
      <c r="AB77" s="117"/>
      <c r="AC77" s="117"/>
      <c r="AD77" s="514"/>
      <c r="AE77" s="427">
        <f>+AE74+AE75-AE76</f>
        <v>1132.4496435714284</v>
      </c>
      <c r="AF77" s="427">
        <f t="shared" ref="AF77" si="57">+AF74+AF75-AF76</f>
        <v>963.76393928571429</v>
      </c>
      <c r="AG77" s="427">
        <f t="shared" ref="AG77" si="58">+AG74+AG75-AG76</f>
        <v>932.61197357142839</v>
      </c>
      <c r="AH77" s="427">
        <f t="shared" ref="AH77" si="59">+AH74+AH75-AH76</f>
        <v>950.57305285714278</v>
      </c>
      <c r="AI77" s="427">
        <f t="shared" ref="AI77" si="60">+AI74+AI75-AI76</f>
        <v>897.59710500000006</v>
      </c>
      <c r="AJ77" s="427">
        <f t="shared" ref="AJ77" si="61">+AJ74+AJ75-AJ76</f>
        <v>747</v>
      </c>
      <c r="AK77" s="117" t="s">
        <v>28</v>
      </c>
      <c r="AL77" s="117"/>
      <c r="AM77" s="434"/>
      <c r="AN77" s="63"/>
      <c r="AO77" s="63"/>
      <c r="AP77" s="63"/>
      <c r="AQ77" s="63"/>
    </row>
    <row r="78" spans="2:43" ht="15.75" thickBot="1" x14ac:dyDescent="0.3">
      <c r="B78" s="486" t="s">
        <v>53</v>
      </c>
      <c r="C78" s="491">
        <f>+ROUNDUP(C77,0)</f>
        <v>1621</v>
      </c>
      <c r="D78" s="491">
        <f t="shared" ref="D78:H78" si="62">+ROUNDUP(D77,0)</f>
        <v>1407</v>
      </c>
      <c r="E78" s="491">
        <f t="shared" si="62"/>
        <v>1351</v>
      </c>
      <c r="F78" s="491">
        <f t="shared" si="62"/>
        <v>1404</v>
      </c>
      <c r="G78" s="491">
        <f t="shared" si="62"/>
        <v>1611</v>
      </c>
      <c r="H78" s="494">
        <f t="shared" si="62"/>
        <v>1363</v>
      </c>
      <c r="I78" s="117"/>
      <c r="J78" s="117"/>
      <c r="K78" s="117"/>
      <c r="L78" s="117"/>
      <c r="M78" s="117"/>
      <c r="N78" s="117"/>
      <c r="O78" s="388"/>
      <c r="P78" s="117" t="s">
        <v>53</v>
      </c>
      <c r="Q78" s="505">
        <f>+ROUNDUP(Q77,0)</f>
        <v>1095</v>
      </c>
      <c r="R78" s="505">
        <f t="shared" ref="R78" si="63">+ROUNDUP(R77,0)</f>
        <v>883</v>
      </c>
      <c r="S78" s="505">
        <f t="shared" ref="S78" si="64">+ROUNDUP(S77,0)</f>
        <v>869</v>
      </c>
      <c r="T78" s="505">
        <f t="shared" ref="T78" si="65">+ROUNDUP(T77,0)</f>
        <v>874</v>
      </c>
      <c r="U78" s="505">
        <f t="shared" ref="U78" si="66">+ROUNDUP(U77,0)</f>
        <v>911</v>
      </c>
      <c r="V78" s="505">
        <f t="shared" ref="V78" si="67">+ROUNDUP(V77,0)</f>
        <v>792</v>
      </c>
      <c r="W78" s="117" t="s">
        <v>29</v>
      </c>
      <c r="X78" s="117"/>
      <c r="Y78" s="117"/>
      <c r="Z78" s="117"/>
      <c r="AA78" s="117"/>
      <c r="AB78" s="117"/>
      <c r="AC78" s="117"/>
      <c r="AD78" s="514" t="s">
        <v>53</v>
      </c>
      <c r="AE78" s="518">
        <f>+ROUNDUP(AE77,0)</f>
        <v>1133</v>
      </c>
      <c r="AF78" s="518">
        <f t="shared" ref="AF78" si="68">+ROUNDUP(AF77,0)</f>
        <v>964</v>
      </c>
      <c r="AG78" s="518">
        <f t="shared" ref="AG78" si="69">+ROUNDUP(AG77,0)</f>
        <v>933</v>
      </c>
      <c r="AH78" s="518">
        <f t="shared" ref="AH78" si="70">+ROUNDUP(AH77,0)</f>
        <v>951</v>
      </c>
      <c r="AI78" s="518">
        <f t="shared" ref="AI78" si="71">+ROUNDUP(AI77,0)</f>
        <v>898</v>
      </c>
      <c r="AJ78" s="518">
        <f t="shared" ref="AJ78" si="72">+ROUNDUP(AJ77,0)</f>
        <v>747</v>
      </c>
      <c r="AK78" s="117" t="s">
        <v>29</v>
      </c>
      <c r="AL78" s="117"/>
      <c r="AM78" s="434"/>
      <c r="AN78" s="63"/>
      <c r="AO78" s="63"/>
      <c r="AP78" s="63"/>
      <c r="AQ78" s="63"/>
    </row>
    <row r="79" spans="2:43" ht="15.75" thickBot="1" x14ac:dyDescent="0.3">
      <c r="B79" s="492" t="s">
        <v>192</v>
      </c>
      <c r="C79" s="493">
        <f>+SUM(C78:F78)</f>
        <v>5783</v>
      </c>
      <c r="D79" s="428"/>
      <c r="E79" s="428"/>
      <c r="F79" s="428"/>
      <c r="G79" s="117"/>
      <c r="H79" s="117"/>
      <c r="I79" s="117"/>
      <c r="J79" s="117"/>
      <c r="K79" s="117"/>
      <c r="L79" s="117"/>
      <c r="M79" s="117"/>
      <c r="N79" s="117"/>
      <c r="O79" s="388"/>
      <c r="P79" s="117" t="s">
        <v>192</v>
      </c>
      <c r="Q79" s="429">
        <f>+SUM(Q78:T78)</f>
        <v>3721</v>
      </c>
      <c r="R79" s="428"/>
      <c r="S79" s="428"/>
      <c r="T79" s="428"/>
      <c r="U79" s="117"/>
      <c r="V79" s="117"/>
      <c r="W79" s="117"/>
      <c r="X79" s="117"/>
      <c r="Y79" s="117"/>
      <c r="Z79" s="117"/>
      <c r="AA79" s="117"/>
      <c r="AB79" s="117"/>
      <c r="AC79" s="117"/>
      <c r="AD79" s="514" t="s">
        <v>192</v>
      </c>
      <c r="AE79" s="518">
        <f>+SUM(AE78:AH78)</f>
        <v>3981</v>
      </c>
      <c r="AF79" s="428"/>
      <c r="AG79" s="428"/>
      <c r="AH79" s="428"/>
      <c r="AI79" s="117"/>
      <c r="AJ79" s="117"/>
      <c r="AK79" s="117"/>
      <c r="AL79" s="117"/>
      <c r="AM79" s="434"/>
      <c r="AN79" s="63"/>
      <c r="AO79" s="63"/>
      <c r="AP79" s="63"/>
      <c r="AQ79" s="63"/>
    </row>
    <row r="80" spans="2:43" ht="15.75" thickBot="1" x14ac:dyDescent="0.3">
      <c r="B80" s="437"/>
      <c r="C80" s="438"/>
      <c r="D80" s="438"/>
      <c r="E80" s="438"/>
      <c r="F80" s="438"/>
      <c r="G80" s="438"/>
      <c r="H80" s="438"/>
      <c r="I80" s="438"/>
      <c r="J80" s="438"/>
      <c r="K80" s="438"/>
      <c r="L80" s="438"/>
      <c r="M80" s="438"/>
      <c r="N80" s="438"/>
      <c r="O80" s="439"/>
      <c r="P80" s="438"/>
      <c r="Q80" s="438"/>
      <c r="R80" s="438"/>
      <c r="S80" s="438"/>
      <c r="T80" s="438"/>
      <c r="U80" s="438"/>
      <c r="V80" s="438"/>
      <c r="W80" s="438"/>
      <c r="X80" s="438"/>
      <c r="Y80" s="438"/>
      <c r="Z80" s="438"/>
      <c r="AA80" s="438"/>
      <c r="AB80" s="438"/>
      <c r="AC80" s="438"/>
      <c r="AD80" s="438"/>
      <c r="AE80" s="438"/>
      <c r="AF80" s="438"/>
      <c r="AG80" s="438"/>
      <c r="AH80" s="438"/>
      <c r="AI80" s="438"/>
      <c r="AJ80" s="438"/>
      <c r="AK80" s="438"/>
      <c r="AL80" s="438"/>
      <c r="AM80" s="440"/>
      <c r="AN80" s="63"/>
      <c r="AO80" s="63"/>
      <c r="AP80" s="63"/>
      <c r="AQ80" s="63"/>
    </row>
    <row r="81" spans="1:47" s="150" customFormat="1" ht="15.75" thickBot="1" x14ac:dyDescent="0.3"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388"/>
      <c r="P81" s="117"/>
      <c r="Q81" s="117"/>
      <c r="R81" s="146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</row>
    <row r="82" spans="1:47" s="150" customFormat="1" x14ac:dyDescent="0.25">
      <c r="A82" s="430"/>
      <c r="B82" s="442" t="s">
        <v>303</v>
      </c>
      <c r="C82" s="431"/>
      <c r="D82" s="431"/>
      <c r="E82" s="431"/>
      <c r="F82" s="431"/>
      <c r="G82" s="431"/>
      <c r="H82" s="431"/>
      <c r="I82" s="431"/>
      <c r="J82" s="431"/>
      <c r="K82" s="431"/>
      <c r="L82" s="431"/>
      <c r="M82" s="431"/>
      <c r="N82" s="431"/>
      <c r="O82" s="432"/>
      <c r="P82" s="431"/>
      <c r="Q82" s="431"/>
      <c r="R82" s="431"/>
      <c r="S82" s="431"/>
      <c r="T82" s="431"/>
      <c r="U82" s="431"/>
      <c r="V82" s="431"/>
      <c r="W82" s="431"/>
      <c r="X82" s="431"/>
      <c r="Y82" s="433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</row>
    <row r="83" spans="1:47" s="150" customFormat="1" x14ac:dyDescent="0.25">
      <c r="A83" s="435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388"/>
      <c r="P83" s="117"/>
      <c r="Q83" s="117"/>
      <c r="R83" s="117"/>
      <c r="S83" s="117"/>
      <c r="T83" s="117"/>
      <c r="U83" s="117"/>
      <c r="V83" s="117"/>
      <c r="W83" s="117"/>
      <c r="X83" s="117"/>
      <c r="Y83" s="434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</row>
    <row r="84" spans="1:47" s="150" customFormat="1" x14ac:dyDescent="0.25">
      <c r="A84" s="435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388"/>
      <c r="P84" s="117"/>
      <c r="Q84" s="117"/>
      <c r="R84" s="117"/>
      <c r="S84" s="117"/>
      <c r="T84" s="117"/>
      <c r="U84" s="117"/>
      <c r="V84" s="117"/>
      <c r="W84" s="117"/>
      <c r="X84" s="117"/>
      <c r="Y84" s="434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</row>
    <row r="85" spans="1:47" x14ac:dyDescent="0.25">
      <c r="A85" s="435"/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388"/>
      <c r="P85" s="117"/>
      <c r="Q85" s="117"/>
      <c r="R85" s="117"/>
      <c r="S85" s="117"/>
      <c r="T85" s="117"/>
      <c r="U85" s="117"/>
      <c r="V85" s="117"/>
      <c r="W85" s="117"/>
      <c r="X85" s="117"/>
      <c r="Y85" s="434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</row>
    <row r="86" spans="1:47" x14ac:dyDescent="0.25">
      <c r="A86" s="435"/>
      <c r="B86" s="422" t="s">
        <v>30</v>
      </c>
      <c r="C86" s="117"/>
      <c r="D86" s="117" t="s">
        <v>208</v>
      </c>
      <c r="E86" s="443">
        <v>0.1</v>
      </c>
      <c r="F86" s="117" t="s">
        <v>209</v>
      </c>
      <c r="G86" s="117"/>
      <c r="H86" s="117"/>
      <c r="I86" s="117"/>
      <c r="J86" s="117"/>
      <c r="K86" s="117"/>
      <c r="L86" s="117"/>
      <c r="M86" s="117"/>
      <c r="N86" s="117"/>
      <c r="O86" s="388"/>
      <c r="P86" s="422" t="s">
        <v>30</v>
      </c>
      <c r="Q86" s="117"/>
      <c r="R86" s="117" t="s">
        <v>208</v>
      </c>
      <c r="S86" s="443">
        <v>0.1</v>
      </c>
      <c r="T86" s="117" t="s">
        <v>209</v>
      </c>
      <c r="U86" s="117"/>
      <c r="V86" s="117"/>
      <c r="W86" s="117"/>
      <c r="X86" s="117"/>
      <c r="Y86" s="434"/>
      <c r="Z86" s="63"/>
      <c r="AA86" s="63"/>
      <c r="AB86" s="63"/>
      <c r="AC86" s="63"/>
      <c r="AD86" s="140" t="s">
        <v>30</v>
      </c>
      <c r="AE86" s="150"/>
      <c r="AF86" s="150" t="s">
        <v>208</v>
      </c>
      <c r="AG86" s="159">
        <v>0.1</v>
      </c>
      <c r="AH86" s="150" t="s">
        <v>209</v>
      </c>
      <c r="AI86" s="150"/>
      <c r="AJ86" s="150"/>
      <c r="AK86" s="150"/>
      <c r="AL86" s="63"/>
      <c r="AM86" s="63"/>
      <c r="AN86" s="63"/>
      <c r="AO86" s="63"/>
      <c r="AP86" s="63"/>
      <c r="AQ86" s="63"/>
    </row>
    <row r="87" spans="1:47" x14ac:dyDescent="0.25">
      <c r="A87" s="435"/>
      <c r="B87" s="496" t="s">
        <v>15</v>
      </c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388"/>
      <c r="P87" s="107" t="s">
        <v>281</v>
      </c>
      <c r="Q87" s="117"/>
      <c r="R87" s="117"/>
      <c r="S87" s="117"/>
      <c r="T87" s="105"/>
      <c r="U87" s="106"/>
      <c r="V87" s="106"/>
      <c r="W87" s="117"/>
      <c r="X87" s="117"/>
      <c r="Y87" s="434"/>
      <c r="Z87" s="63"/>
      <c r="AA87" s="63"/>
      <c r="AB87" s="63"/>
      <c r="AC87" s="63"/>
      <c r="AD87" s="513" t="s">
        <v>286</v>
      </c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</row>
    <row r="88" spans="1:47" x14ac:dyDescent="0.25">
      <c r="A88" s="435"/>
      <c r="B88" s="496" t="s">
        <v>41</v>
      </c>
      <c r="C88" s="497" t="s">
        <v>31</v>
      </c>
      <c r="D88" s="497"/>
      <c r="E88" s="497" t="s">
        <v>32</v>
      </c>
      <c r="F88" s="497" t="s">
        <v>33</v>
      </c>
      <c r="G88" s="497" t="s">
        <v>34</v>
      </c>
      <c r="H88" s="497"/>
      <c r="I88" s="117"/>
      <c r="J88" s="117"/>
      <c r="K88" s="117"/>
      <c r="L88" s="117"/>
      <c r="M88" s="117"/>
      <c r="N88" s="117"/>
      <c r="O88" s="388"/>
      <c r="P88" s="107" t="s">
        <v>41</v>
      </c>
      <c r="Q88" s="146" t="s">
        <v>31</v>
      </c>
      <c r="R88" s="146"/>
      <c r="S88" s="146" t="s">
        <v>32</v>
      </c>
      <c r="T88" s="146" t="s">
        <v>33</v>
      </c>
      <c r="U88" s="146" t="s">
        <v>34</v>
      </c>
      <c r="V88" s="146"/>
      <c r="W88" s="117"/>
      <c r="X88" s="117"/>
      <c r="Y88" s="434"/>
      <c r="Z88" s="63"/>
      <c r="AA88" s="63"/>
      <c r="AB88" s="63"/>
      <c r="AC88" s="63"/>
      <c r="AD88" s="513" t="s">
        <v>41</v>
      </c>
      <c r="AE88" s="407" t="s">
        <v>31</v>
      </c>
      <c r="AF88" s="407"/>
      <c r="AG88" s="407" t="s">
        <v>32</v>
      </c>
      <c r="AH88" s="407" t="s">
        <v>33</v>
      </c>
      <c r="AI88" s="407" t="s">
        <v>34</v>
      </c>
      <c r="AJ88" s="407"/>
      <c r="AK88" s="63"/>
      <c r="AL88" s="63"/>
      <c r="AM88" s="63"/>
      <c r="AN88" s="63"/>
      <c r="AO88" s="63"/>
      <c r="AP88" s="63"/>
      <c r="AQ88" s="63"/>
    </row>
    <row r="89" spans="1:47" x14ac:dyDescent="0.25">
      <c r="A89" s="435"/>
      <c r="B89" s="497" t="s">
        <v>206</v>
      </c>
      <c r="C89" s="98" t="s">
        <v>42</v>
      </c>
      <c r="D89" s="99"/>
      <c r="E89" s="151">
        <v>1.5</v>
      </c>
      <c r="F89" s="55">
        <v>8700</v>
      </c>
      <c r="G89" s="530">
        <v>3</v>
      </c>
      <c r="H89" s="530"/>
      <c r="I89" s="117" t="s">
        <v>50</v>
      </c>
      <c r="J89" s="117"/>
      <c r="K89" s="117"/>
      <c r="L89" s="117"/>
      <c r="M89" s="117"/>
      <c r="N89" s="117"/>
      <c r="O89" s="388"/>
      <c r="P89" s="146" t="s">
        <v>291</v>
      </c>
      <c r="Q89" s="98" t="s">
        <v>42</v>
      </c>
      <c r="R89" s="99"/>
      <c r="S89" s="151">
        <v>2</v>
      </c>
      <c r="T89" s="103">
        <v>12350</v>
      </c>
      <c r="U89" s="530">
        <v>2</v>
      </c>
      <c r="V89" s="530"/>
      <c r="W89" s="117" t="s">
        <v>50</v>
      </c>
      <c r="X89" s="117"/>
      <c r="Y89" s="434"/>
      <c r="Z89" s="63"/>
      <c r="AA89" s="63"/>
      <c r="AB89" s="63"/>
      <c r="AC89" s="63"/>
      <c r="AD89" s="407" t="s">
        <v>291</v>
      </c>
      <c r="AE89" s="72" t="s">
        <v>42</v>
      </c>
      <c r="AF89" s="73"/>
      <c r="AG89" s="64">
        <v>2.25</v>
      </c>
      <c r="AH89" s="55">
        <v>12350</v>
      </c>
      <c r="AI89" s="530">
        <v>0</v>
      </c>
      <c r="AJ89" s="530"/>
      <c r="AK89" s="63" t="s">
        <v>50</v>
      </c>
      <c r="AL89" s="63"/>
      <c r="AM89" s="63"/>
      <c r="AN89" s="63"/>
      <c r="AO89" s="63"/>
      <c r="AP89" s="63"/>
      <c r="AQ89" s="63"/>
    </row>
    <row r="90" spans="1:47" x14ac:dyDescent="0.25">
      <c r="A90" s="435"/>
      <c r="B90" s="497" t="s">
        <v>287</v>
      </c>
      <c r="C90" s="498" t="s">
        <v>43</v>
      </c>
      <c r="D90" s="101"/>
      <c r="E90" s="102">
        <v>2</v>
      </c>
      <c r="F90" s="56">
        <v>550</v>
      </c>
      <c r="G90" s="530">
        <v>4</v>
      </c>
      <c r="H90" s="530"/>
      <c r="I90" s="117"/>
      <c r="J90" s="117"/>
      <c r="K90" s="117"/>
      <c r="L90" s="117"/>
      <c r="M90" s="117"/>
      <c r="N90" s="117"/>
      <c r="O90" s="388"/>
      <c r="P90" s="146" t="s">
        <v>292</v>
      </c>
      <c r="Q90" s="100" t="s">
        <v>43</v>
      </c>
      <c r="R90" s="101"/>
      <c r="S90" s="102">
        <v>1</v>
      </c>
      <c r="T90" s="104">
        <v>900</v>
      </c>
      <c r="U90" s="530">
        <v>3</v>
      </c>
      <c r="V90" s="530"/>
      <c r="W90" s="117"/>
      <c r="X90" s="117"/>
      <c r="Y90" s="434"/>
      <c r="Z90" s="63"/>
      <c r="AA90" s="63"/>
      <c r="AB90" s="63"/>
      <c r="AC90" s="63"/>
      <c r="AD90" s="407" t="s">
        <v>205</v>
      </c>
      <c r="AE90" s="74" t="s">
        <v>42</v>
      </c>
      <c r="AF90" s="75"/>
      <c r="AG90" s="76">
        <v>2</v>
      </c>
      <c r="AH90" s="56">
        <v>2300</v>
      </c>
      <c r="AI90" s="530">
        <v>0</v>
      </c>
      <c r="AJ90" s="530"/>
      <c r="AK90" s="63"/>
      <c r="AL90" s="63"/>
      <c r="AM90" s="63"/>
      <c r="AN90" s="63"/>
      <c r="AO90" s="63"/>
      <c r="AP90" s="63"/>
      <c r="AQ90" s="63"/>
    </row>
    <row r="91" spans="1:47" x14ac:dyDescent="0.25">
      <c r="A91" s="435"/>
      <c r="B91" s="497" t="s">
        <v>288</v>
      </c>
      <c r="C91" s="100" t="s">
        <v>43</v>
      </c>
      <c r="D91" s="101"/>
      <c r="E91" s="102">
        <v>1</v>
      </c>
      <c r="F91" s="56">
        <v>750</v>
      </c>
      <c r="G91" s="530">
        <v>5</v>
      </c>
      <c r="H91" s="530"/>
      <c r="I91" s="117"/>
      <c r="J91" s="117"/>
      <c r="K91" s="117"/>
      <c r="L91" s="117"/>
      <c r="M91" s="117"/>
      <c r="N91" s="117"/>
      <c r="O91" s="388"/>
      <c r="P91" s="146" t="s">
        <v>293</v>
      </c>
      <c r="Q91" s="100" t="s">
        <v>43</v>
      </c>
      <c r="R91" s="101"/>
      <c r="S91" s="102">
        <v>2</v>
      </c>
      <c r="T91" s="104">
        <v>750</v>
      </c>
      <c r="U91" s="530">
        <v>1</v>
      </c>
      <c r="V91" s="530"/>
      <c r="W91" s="117"/>
      <c r="X91" s="117"/>
      <c r="Y91" s="434"/>
      <c r="Z91" s="63"/>
      <c r="AA91" s="63"/>
      <c r="AB91" s="63"/>
      <c r="AC91" s="63"/>
      <c r="AD91" s="407" t="s">
        <v>289</v>
      </c>
      <c r="AE91" s="74" t="s">
        <v>207</v>
      </c>
      <c r="AF91" s="75"/>
      <c r="AG91" s="76">
        <v>8</v>
      </c>
      <c r="AH91" s="56">
        <v>200</v>
      </c>
      <c r="AI91" s="530">
        <v>0</v>
      </c>
      <c r="AJ91" s="530"/>
      <c r="AK91" s="63"/>
      <c r="AL91" s="63"/>
      <c r="AM91" s="63"/>
      <c r="AN91" s="63"/>
      <c r="AO91" s="63"/>
      <c r="AP91" s="63"/>
      <c r="AQ91" s="63"/>
    </row>
    <row r="92" spans="1:47" x14ac:dyDescent="0.25">
      <c r="A92" s="435"/>
      <c r="B92" s="497" t="s">
        <v>289</v>
      </c>
      <c r="C92" s="498" t="s">
        <v>43</v>
      </c>
      <c r="D92" s="101"/>
      <c r="E92" s="102">
        <v>14</v>
      </c>
      <c r="F92" s="56">
        <v>200</v>
      </c>
      <c r="G92" s="530">
        <v>6</v>
      </c>
      <c r="H92" s="530"/>
      <c r="I92" s="117"/>
      <c r="J92" s="117"/>
      <c r="K92" s="117"/>
      <c r="L92" s="117"/>
      <c r="M92" s="117"/>
      <c r="N92" s="117"/>
      <c r="O92" s="388"/>
      <c r="P92" s="146" t="s">
        <v>294</v>
      </c>
      <c r="Q92" s="100" t="s">
        <v>43</v>
      </c>
      <c r="R92" s="101"/>
      <c r="S92" s="102">
        <v>4</v>
      </c>
      <c r="T92" s="104">
        <v>300</v>
      </c>
      <c r="U92" s="530">
        <v>4</v>
      </c>
      <c r="V92" s="530"/>
      <c r="W92" s="117"/>
      <c r="X92" s="117"/>
      <c r="Y92" s="434"/>
      <c r="Z92" s="63"/>
      <c r="AA92" s="63"/>
      <c r="AB92" s="63"/>
      <c r="AC92" s="63"/>
      <c r="AD92" s="407" t="s">
        <v>290</v>
      </c>
      <c r="AE92" s="74" t="s">
        <v>42</v>
      </c>
      <c r="AF92" s="75"/>
      <c r="AG92" s="76">
        <v>45</v>
      </c>
      <c r="AH92" s="56">
        <v>80</v>
      </c>
      <c r="AI92" s="530">
        <v>0</v>
      </c>
      <c r="AJ92" s="530"/>
      <c r="AK92" s="63"/>
      <c r="AL92" s="63"/>
      <c r="AM92" s="63"/>
      <c r="AN92" s="63"/>
      <c r="AO92" s="63"/>
      <c r="AP92" s="63"/>
      <c r="AQ92" s="63"/>
    </row>
    <row r="93" spans="1:47" x14ac:dyDescent="0.25">
      <c r="A93" s="435"/>
      <c r="B93" s="497" t="s">
        <v>290</v>
      </c>
      <c r="C93" s="412" t="s">
        <v>42</v>
      </c>
      <c r="D93" s="99"/>
      <c r="E93" s="151">
        <v>50</v>
      </c>
      <c r="F93" s="55">
        <v>80</v>
      </c>
      <c r="G93" s="523">
        <v>7</v>
      </c>
      <c r="H93" s="524"/>
      <c r="I93" s="117"/>
      <c r="J93" s="117"/>
      <c r="K93" s="117"/>
      <c r="L93" s="117"/>
      <c r="M93" s="117"/>
      <c r="N93" s="117"/>
      <c r="O93" s="388"/>
      <c r="P93" s="146" t="s">
        <v>290</v>
      </c>
      <c r="Q93" s="98" t="s">
        <v>42</v>
      </c>
      <c r="R93" s="99"/>
      <c r="S93" s="151">
        <v>30</v>
      </c>
      <c r="T93" s="103">
        <v>80</v>
      </c>
      <c r="U93" s="525">
        <v>3</v>
      </c>
      <c r="V93" s="526"/>
      <c r="W93" s="117"/>
      <c r="X93" s="117"/>
      <c r="Y93" s="434"/>
      <c r="Z93" s="150"/>
      <c r="AA93" s="150"/>
      <c r="AB93" s="150"/>
      <c r="AC93" s="63"/>
      <c r="AD93" s="407"/>
      <c r="AE93" s="98"/>
      <c r="AF93" s="99"/>
      <c r="AG93" s="151"/>
      <c r="AH93" s="158"/>
      <c r="AI93" s="525"/>
      <c r="AJ93" s="526"/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</row>
    <row r="94" spans="1:47" x14ac:dyDescent="0.25">
      <c r="A94" s="435"/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388"/>
      <c r="P94" s="117"/>
      <c r="Q94" s="117"/>
      <c r="R94" s="117"/>
      <c r="S94" s="117"/>
      <c r="T94" s="117"/>
      <c r="U94" s="117"/>
      <c r="V94" s="117"/>
      <c r="W94" s="117"/>
      <c r="X94" s="117"/>
      <c r="Y94" s="434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</row>
    <row r="95" spans="1:47" x14ac:dyDescent="0.25">
      <c r="A95" s="435"/>
      <c r="B95" s="496" t="s">
        <v>15</v>
      </c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388"/>
      <c r="P95" s="107" t="s">
        <v>281</v>
      </c>
      <c r="Q95" s="117"/>
      <c r="R95" s="117"/>
      <c r="S95" s="117"/>
      <c r="T95" s="117"/>
      <c r="U95" s="117"/>
      <c r="V95" s="117"/>
      <c r="W95" s="117"/>
      <c r="X95" s="117"/>
      <c r="Y95" s="434"/>
      <c r="Z95" s="63"/>
      <c r="AA95" s="63"/>
      <c r="AB95" s="63"/>
      <c r="AC95" s="63"/>
      <c r="AD95" s="515" t="s">
        <v>286</v>
      </c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</row>
    <row r="96" spans="1:47" x14ac:dyDescent="0.25">
      <c r="A96" s="435"/>
      <c r="B96" s="497" t="s">
        <v>206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388"/>
      <c r="P96" s="146" t="s">
        <v>291</v>
      </c>
      <c r="Q96" s="117"/>
      <c r="R96" s="117"/>
      <c r="S96" s="117"/>
      <c r="T96" s="117"/>
      <c r="U96" s="117"/>
      <c r="V96" s="117"/>
      <c r="W96" s="117"/>
      <c r="X96" s="117"/>
      <c r="Y96" s="434"/>
      <c r="Z96" s="63"/>
      <c r="AA96" s="63"/>
      <c r="AB96" s="63"/>
      <c r="AC96" s="63"/>
      <c r="AD96" s="407" t="s">
        <v>291</v>
      </c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</row>
    <row r="97" spans="1:43" x14ac:dyDescent="0.25">
      <c r="A97" s="435"/>
      <c r="B97" s="117"/>
      <c r="C97" s="497" t="s">
        <v>18</v>
      </c>
      <c r="D97" s="497" t="s">
        <v>19</v>
      </c>
      <c r="E97" s="497" t="s">
        <v>20</v>
      </c>
      <c r="F97" s="497" t="s">
        <v>21</v>
      </c>
      <c r="G97" s="497" t="s">
        <v>57</v>
      </c>
      <c r="H97" s="497" t="s">
        <v>58</v>
      </c>
      <c r="I97" s="117"/>
      <c r="J97" s="117"/>
      <c r="K97" s="117"/>
      <c r="L97" s="117"/>
      <c r="M97" s="117"/>
      <c r="N97" s="117"/>
      <c r="O97" s="388"/>
      <c r="P97" s="117"/>
      <c r="Q97" s="146" t="s">
        <v>18</v>
      </c>
      <c r="R97" s="146" t="s">
        <v>19</v>
      </c>
      <c r="S97" s="146" t="s">
        <v>20</v>
      </c>
      <c r="T97" s="146" t="s">
        <v>21</v>
      </c>
      <c r="U97" s="146" t="s">
        <v>57</v>
      </c>
      <c r="V97" s="146" t="s">
        <v>58</v>
      </c>
      <c r="W97" s="117"/>
      <c r="X97" s="117"/>
      <c r="Y97" s="434"/>
      <c r="Z97" s="63"/>
      <c r="AA97" s="63"/>
      <c r="AB97" s="63"/>
      <c r="AC97" s="63"/>
      <c r="AD97" s="63"/>
      <c r="AE97" s="407" t="s">
        <v>18</v>
      </c>
      <c r="AF97" s="407" t="s">
        <v>19</v>
      </c>
      <c r="AG97" s="407" t="s">
        <v>20</v>
      </c>
      <c r="AH97" s="407" t="s">
        <v>21</v>
      </c>
      <c r="AI97" s="407" t="s">
        <v>57</v>
      </c>
      <c r="AJ97" s="407" t="s">
        <v>58</v>
      </c>
      <c r="AK97" s="63"/>
      <c r="AL97" s="63"/>
      <c r="AM97" s="63"/>
      <c r="AN97" s="63"/>
      <c r="AO97" s="63"/>
      <c r="AP97" s="63"/>
      <c r="AQ97" s="63"/>
    </row>
    <row r="98" spans="1:43" x14ac:dyDescent="0.25">
      <c r="A98" s="435"/>
      <c r="B98" s="117" t="s">
        <v>24</v>
      </c>
      <c r="C98" s="117">
        <f t="shared" ref="C98:H98" si="73">+C78*$E$89</f>
        <v>2431.5</v>
      </c>
      <c r="D98" s="117">
        <f t="shared" si="73"/>
        <v>2110.5</v>
      </c>
      <c r="E98" s="117">
        <f t="shared" si="73"/>
        <v>2026.5</v>
      </c>
      <c r="F98" s="117">
        <f t="shared" si="73"/>
        <v>2106</v>
      </c>
      <c r="G98" s="117">
        <f t="shared" si="73"/>
        <v>2416.5</v>
      </c>
      <c r="H98" s="117">
        <f t="shared" si="73"/>
        <v>2044.5</v>
      </c>
      <c r="I98" s="117" t="s">
        <v>35</v>
      </c>
      <c r="J98" s="117"/>
      <c r="K98" s="117"/>
      <c r="L98" s="117"/>
      <c r="M98" s="117"/>
      <c r="N98" s="117"/>
      <c r="O98" s="388"/>
      <c r="P98" s="117" t="s">
        <v>24</v>
      </c>
      <c r="Q98" s="117">
        <f t="shared" ref="Q98:V98" si="74">+Q78*$S$89</f>
        <v>2190</v>
      </c>
      <c r="R98" s="117">
        <f t="shared" si="74"/>
        <v>1766</v>
      </c>
      <c r="S98" s="117">
        <f t="shared" si="74"/>
        <v>1738</v>
      </c>
      <c r="T98" s="117">
        <f t="shared" si="74"/>
        <v>1748</v>
      </c>
      <c r="U98" s="117">
        <f t="shared" si="74"/>
        <v>1822</v>
      </c>
      <c r="V98" s="117">
        <f t="shared" si="74"/>
        <v>1584</v>
      </c>
      <c r="W98" s="117" t="s">
        <v>35</v>
      </c>
      <c r="X98" s="117"/>
      <c r="Y98" s="434"/>
      <c r="Z98" s="63"/>
      <c r="AA98" s="63"/>
      <c r="AB98" s="63"/>
      <c r="AC98" s="63"/>
      <c r="AD98" s="63" t="s">
        <v>24</v>
      </c>
      <c r="AE98" s="63">
        <f t="shared" ref="AE98:AJ98" si="75">+AE78*$AG$89</f>
        <v>2549.25</v>
      </c>
      <c r="AF98" s="150">
        <f t="shared" si="75"/>
        <v>2169</v>
      </c>
      <c r="AG98" s="150">
        <f t="shared" si="75"/>
        <v>2099.25</v>
      </c>
      <c r="AH98" s="150">
        <f t="shared" si="75"/>
        <v>2139.75</v>
      </c>
      <c r="AI98" s="150">
        <f t="shared" si="75"/>
        <v>2020.5</v>
      </c>
      <c r="AJ98" s="150">
        <f t="shared" si="75"/>
        <v>1680.75</v>
      </c>
      <c r="AK98" s="63" t="s">
        <v>35</v>
      </c>
      <c r="AL98" s="63"/>
      <c r="AM98" s="63"/>
      <c r="AN98" s="63"/>
      <c r="AO98" s="63"/>
      <c r="AP98" s="63"/>
      <c r="AQ98" s="63"/>
    </row>
    <row r="99" spans="1:43" x14ac:dyDescent="0.25">
      <c r="A99" s="435"/>
      <c r="B99" s="117" t="s">
        <v>24</v>
      </c>
      <c r="C99" s="117">
        <f>+D98*$E$86</f>
        <v>211.05</v>
      </c>
      <c r="D99" s="117">
        <f t="shared" ref="D99:G99" si="76">+E98*$E$86</f>
        <v>202.65</v>
      </c>
      <c r="E99" s="117">
        <f t="shared" si="76"/>
        <v>210.60000000000002</v>
      </c>
      <c r="F99" s="117">
        <f t="shared" si="76"/>
        <v>241.65</v>
      </c>
      <c r="G99" s="117">
        <f t="shared" si="76"/>
        <v>204.45000000000002</v>
      </c>
      <c r="H99" s="117">
        <v>0</v>
      </c>
      <c r="I99" s="117" t="s">
        <v>44</v>
      </c>
      <c r="J99" s="117"/>
      <c r="K99" s="117"/>
      <c r="L99" s="117"/>
      <c r="M99" s="117"/>
      <c r="N99" s="117"/>
      <c r="O99" s="388"/>
      <c r="P99" s="117" t="s">
        <v>24</v>
      </c>
      <c r="Q99" s="117">
        <f>+R98*$S$86</f>
        <v>176.60000000000002</v>
      </c>
      <c r="R99" s="117">
        <f t="shared" ref="R99:U99" si="77">+S98*$S$86</f>
        <v>173.8</v>
      </c>
      <c r="S99" s="117">
        <f t="shared" si="77"/>
        <v>174.8</v>
      </c>
      <c r="T99" s="117">
        <f t="shared" si="77"/>
        <v>182.20000000000002</v>
      </c>
      <c r="U99" s="117">
        <f t="shared" si="77"/>
        <v>158.4</v>
      </c>
      <c r="V99" s="117">
        <v>0</v>
      </c>
      <c r="W99" s="117" t="s">
        <v>44</v>
      </c>
      <c r="X99" s="117"/>
      <c r="Y99" s="434"/>
      <c r="Z99" s="63"/>
      <c r="AA99" s="63"/>
      <c r="AB99" s="63"/>
      <c r="AC99" s="63"/>
      <c r="AD99" s="63" t="s">
        <v>24</v>
      </c>
      <c r="AE99" s="63">
        <f>+AF98*$AG$86</f>
        <v>216.9</v>
      </c>
      <c r="AF99" s="150">
        <f t="shared" ref="AF99:AI99" si="78">+AG98*$AG$86</f>
        <v>209.92500000000001</v>
      </c>
      <c r="AG99" s="150">
        <f t="shared" si="78"/>
        <v>213.97500000000002</v>
      </c>
      <c r="AH99" s="150">
        <f t="shared" si="78"/>
        <v>202.05</v>
      </c>
      <c r="AI99" s="150">
        <f t="shared" si="78"/>
        <v>168.07500000000002</v>
      </c>
      <c r="AJ99" s="150">
        <v>0</v>
      </c>
      <c r="AK99" s="63" t="s">
        <v>44</v>
      </c>
      <c r="AL99" s="63"/>
      <c r="AM99" s="63"/>
      <c r="AN99" s="63"/>
      <c r="AO99" s="63"/>
      <c r="AP99" s="63"/>
      <c r="AQ99" s="63"/>
    </row>
    <row r="100" spans="1:43" ht="15.75" thickBot="1" x14ac:dyDescent="0.3">
      <c r="A100" s="435"/>
      <c r="B100" s="117" t="s">
        <v>27</v>
      </c>
      <c r="C100" s="132">
        <f>+G89</f>
        <v>3</v>
      </c>
      <c r="D100" s="132">
        <f>+C99</f>
        <v>211.05</v>
      </c>
      <c r="E100" s="132">
        <f t="shared" ref="E100:H100" si="79">+D99</f>
        <v>202.65</v>
      </c>
      <c r="F100" s="132">
        <f t="shared" si="79"/>
        <v>210.60000000000002</v>
      </c>
      <c r="G100" s="132">
        <f t="shared" si="79"/>
        <v>241.65</v>
      </c>
      <c r="H100" s="132">
        <f t="shared" si="79"/>
        <v>204.45000000000002</v>
      </c>
      <c r="I100" s="117" t="s">
        <v>34</v>
      </c>
      <c r="J100" s="117"/>
      <c r="K100" s="117"/>
      <c r="L100" s="117"/>
      <c r="M100" s="117"/>
      <c r="N100" s="117"/>
      <c r="O100" s="388"/>
      <c r="P100" s="117" t="s">
        <v>27</v>
      </c>
      <c r="Q100" s="132">
        <f>+U89</f>
        <v>2</v>
      </c>
      <c r="R100" s="132">
        <f>+Q99</f>
        <v>176.60000000000002</v>
      </c>
      <c r="S100" s="132">
        <f t="shared" ref="S100:V100" si="80">+R99</f>
        <v>173.8</v>
      </c>
      <c r="T100" s="132">
        <f t="shared" si="80"/>
        <v>174.8</v>
      </c>
      <c r="U100" s="132">
        <f t="shared" si="80"/>
        <v>182.20000000000002</v>
      </c>
      <c r="V100" s="132">
        <f t="shared" si="80"/>
        <v>158.4</v>
      </c>
      <c r="W100" s="117" t="s">
        <v>34</v>
      </c>
      <c r="X100" s="117"/>
      <c r="Y100" s="434"/>
      <c r="Z100" s="63"/>
      <c r="AA100" s="63"/>
      <c r="AB100" s="63"/>
      <c r="AC100" s="63"/>
      <c r="AD100" s="63" t="s">
        <v>27</v>
      </c>
      <c r="AE100" s="71">
        <f>+AI89</f>
        <v>0</v>
      </c>
      <c r="AF100" s="71">
        <f>+AE99</f>
        <v>216.9</v>
      </c>
      <c r="AG100" s="71">
        <f t="shared" ref="AG100:AJ100" si="81">+AF99</f>
        <v>209.92500000000001</v>
      </c>
      <c r="AH100" s="71">
        <f t="shared" si="81"/>
        <v>213.97500000000002</v>
      </c>
      <c r="AI100" s="71">
        <f t="shared" si="81"/>
        <v>202.05</v>
      </c>
      <c r="AJ100" s="71">
        <f t="shared" si="81"/>
        <v>168.07500000000002</v>
      </c>
      <c r="AK100" s="63" t="s">
        <v>34</v>
      </c>
      <c r="AL100" s="63"/>
      <c r="AM100" s="63"/>
      <c r="AN100" s="63"/>
      <c r="AO100" s="63"/>
      <c r="AP100" s="63"/>
      <c r="AQ100" s="63"/>
    </row>
    <row r="101" spans="1:43" x14ac:dyDescent="0.25">
      <c r="A101" s="435"/>
      <c r="B101" s="117"/>
      <c r="C101" s="117">
        <f>+C98+C99-C100</f>
        <v>2639.55</v>
      </c>
      <c r="D101" s="117">
        <f t="shared" ref="D101:G101" si="82">+D98+D99-D100</f>
        <v>2102.1</v>
      </c>
      <c r="E101" s="117">
        <f t="shared" si="82"/>
        <v>2034.4499999999998</v>
      </c>
      <c r="F101" s="117">
        <f t="shared" si="82"/>
        <v>2137.0500000000002</v>
      </c>
      <c r="G101" s="117">
        <f t="shared" si="82"/>
        <v>2379.2999999999997</v>
      </c>
      <c r="H101" s="117">
        <v>0</v>
      </c>
      <c r="I101" s="117" t="s">
        <v>37</v>
      </c>
      <c r="J101" s="117"/>
      <c r="K101" s="117"/>
      <c r="L101" s="117"/>
      <c r="M101" s="117"/>
      <c r="N101" s="117"/>
      <c r="O101" s="388"/>
      <c r="P101" s="117"/>
      <c r="Q101" s="117">
        <f>+Q98+Q99-Q100</f>
        <v>2364.6</v>
      </c>
      <c r="R101" s="117">
        <f t="shared" ref="R101" si="83">+R98+R99-R100</f>
        <v>1763.1999999999998</v>
      </c>
      <c r="S101" s="117">
        <f t="shared" ref="S101" si="84">+S98+S99-S100</f>
        <v>1739</v>
      </c>
      <c r="T101" s="117">
        <f t="shared" ref="T101" si="85">+T98+T99-T100</f>
        <v>1755.4</v>
      </c>
      <c r="U101" s="117">
        <f t="shared" ref="U101" si="86">+U98+U99-U100</f>
        <v>1798.2</v>
      </c>
      <c r="V101" s="117">
        <v>0</v>
      </c>
      <c r="W101" s="117" t="s">
        <v>37</v>
      </c>
      <c r="X101" s="117"/>
      <c r="Y101" s="434"/>
      <c r="Z101" s="63"/>
      <c r="AA101" s="63"/>
      <c r="AB101" s="63"/>
      <c r="AC101" s="63"/>
      <c r="AD101" s="63"/>
      <c r="AE101" s="63">
        <f>+AE98+AE99-AE100</f>
        <v>2766.15</v>
      </c>
      <c r="AF101" s="63">
        <f t="shared" ref="AF101" si="87">+AF98+AF99-AF100</f>
        <v>2162.0250000000001</v>
      </c>
      <c r="AG101" s="63">
        <f t="shared" ref="AG101" si="88">+AG98+AG99-AG100</f>
        <v>2103.2999999999997</v>
      </c>
      <c r="AH101" s="63">
        <f t="shared" ref="AH101" si="89">+AH98+AH99-AH100</f>
        <v>2127.8250000000003</v>
      </c>
      <c r="AI101" s="63">
        <f t="shared" ref="AI101" si="90">+AI98+AI99-AI100</f>
        <v>1986.5249999999999</v>
      </c>
      <c r="AJ101" s="63">
        <v>0</v>
      </c>
      <c r="AK101" s="63" t="s">
        <v>37</v>
      </c>
      <c r="AL101" s="63"/>
      <c r="AM101" s="63"/>
      <c r="AN101" s="63"/>
      <c r="AO101" s="63"/>
      <c r="AP101" s="63"/>
      <c r="AQ101" s="63"/>
    </row>
    <row r="102" spans="1:43" ht="15.75" thickBot="1" x14ac:dyDescent="0.3">
      <c r="A102" s="435"/>
      <c r="B102" s="117"/>
      <c r="C102" s="77"/>
      <c r="D102" s="77"/>
      <c r="E102" s="77"/>
      <c r="F102" s="77"/>
      <c r="G102" s="117"/>
      <c r="H102" s="117"/>
      <c r="I102" s="117"/>
      <c r="J102" s="117"/>
      <c r="K102" s="117"/>
      <c r="L102" s="117"/>
      <c r="M102" s="117"/>
      <c r="N102" s="117"/>
      <c r="O102" s="388"/>
      <c r="P102" s="117"/>
      <c r="Q102" s="77"/>
      <c r="R102" s="77"/>
      <c r="S102" s="77"/>
      <c r="T102" s="77"/>
      <c r="U102" s="117"/>
      <c r="V102" s="117"/>
      <c r="W102" s="117"/>
      <c r="X102" s="117"/>
      <c r="Y102" s="434"/>
      <c r="Z102" s="63"/>
      <c r="AA102" s="63"/>
      <c r="AB102" s="63"/>
      <c r="AC102" s="63"/>
      <c r="AD102" s="63"/>
      <c r="AE102" s="77"/>
      <c r="AF102" s="77"/>
      <c r="AG102" s="77"/>
      <c r="AH102" s="77"/>
      <c r="AI102" s="63"/>
      <c r="AJ102" s="63"/>
      <c r="AK102" s="63"/>
      <c r="AL102" s="63"/>
      <c r="AM102" s="63"/>
      <c r="AN102" s="63"/>
      <c r="AO102" s="63"/>
      <c r="AP102" s="63"/>
      <c r="AQ102" s="63"/>
    </row>
    <row r="103" spans="1:43" x14ac:dyDescent="0.25">
      <c r="A103" s="435"/>
      <c r="B103" s="117"/>
      <c r="C103" s="444">
        <f>+C101*$F$89</f>
        <v>22964085</v>
      </c>
      <c r="D103" s="444">
        <f t="shared" ref="D103:H103" si="91">+D101*$F$89</f>
        <v>18288270</v>
      </c>
      <c r="E103" s="444">
        <f t="shared" si="91"/>
        <v>17699715</v>
      </c>
      <c r="F103" s="444">
        <f t="shared" si="91"/>
        <v>18592335</v>
      </c>
      <c r="G103" s="444">
        <f t="shared" si="91"/>
        <v>20699909.999999996</v>
      </c>
      <c r="H103" s="444">
        <f t="shared" si="91"/>
        <v>0</v>
      </c>
      <c r="I103" s="117" t="s">
        <v>38</v>
      </c>
      <c r="J103" s="117"/>
      <c r="K103" s="117"/>
      <c r="L103" s="117"/>
      <c r="M103" s="117"/>
      <c r="N103" s="117"/>
      <c r="O103" s="388"/>
      <c r="P103" s="117"/>
      <c r="Q103" s="506">
        <f>+Q101*$T$89</f>
        <v>29202810</v>
      </c>
      <c r="R103" s="506">
        <f t="shared" ref="R103:U103" si="92">+R101*$T$89</f>
        <v>21775519.999999996</v>
      </c>
      <c r="S103" s="506">
        <f t="shared" si="92"/>
        <v>21476650</v>
      </c>
      <c r="T103" s="506">
        <f t="shared" si="92"/>
        <v>21679190</v>
      </c>
      <c r="U103" s="506">
        <f t="shared" si="92"/>
        <v>22207770</v>
      </c>
      <c r="V103" s="506">
        <f>+V101*$T$89</f>
        <v>0</v>
      </c>
      <c r="W103" s="117" t="s">
        <v>38</v>
      </c>
      <c r="X103" s="117"/>
      <c r="Y103" s="434"/>
      <c r="Z103" s="63"/>
      <c r="AA103" s="63"/>
      <c r="AB103" s="63"/>
      <c r="AC103" s="63"/>
      <c r="AD103" s="63"/>
      <c r="AE103" s="516">
        <f>+AE101*$AH$89</f>
        <v>34161952.5</v>
      </c>
      <c r="AF103" s="516">
        <f t="shared" ref="AF103:AJ103" si="93">+AF101*$AH$89</f>
        <v>26701008.75</v>
      </c>
      <c r="AG103" s="516">
        <f t="shared" si="93"/>
        <v>25975754.999999996</v>
      </c>
      <c r="AH103" s="516">
        <f t="shared" si="93"/>
        <v>26278638.750000004</v>
      </c>
      <c r="AI103" s="516">
        <f t="shared" si="93"/>
        <v>24533583.75</v>
      </c>
      <c r="AJ103" s="516">
        <f t="shared" si="93"/>
        <v>0</v>
      </c>
      <c r="AK103" s="63" t="s">
        <v>38</v>
      </c>
      <c r="AL103" s="63"/>
      <c r="AM103" s="63"/>
      <c r="AN103" s="63"/>
      <c r="AO103" s="63"/>
      <c r="AP103" s="63"/>
      <c r="AQ103" s="63"/>
    </row>
    <row r="104" spans="1:43" x14ac:dyDescent="0.25">
      <c r="A104" s="435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388"/>
      <c r="P104" s="117"/>
      <c r="Q104" s="117"/>
      <c r="R104" s="117"/>
      <c r="S104" s="117"/>
      <c r="T104" s="117"/>
      <c r="U104" s="117"/>
      <c r="V104" s="117"/>
      <c r="W104" s="117"/>
      <c r="X104" s="117"/>
      <c r="Y104" s="434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</row>
    <row r="105" spans="1:43" x14ac:dyDescent="0.25">
      <c r="A105" s="435"/>
      <c r="B105" s="497" t="s">
        <v>287</v>
      </c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388"/>
      <c r="P105" s="146" t="s">
        <v>292</v>
      </c>
      <c r="Q105" s="117"/>
      <c r="R105" s="117"/>
      <c r="S105" s="117"/>
      <c r="T105" s="117"/>
      <c r="U105" s="117"/>
      <c r="V105" s="117"/>
      <c r="W105" s="117"/>
      <c r="X105" s="117"/>
      <c r="Y105" s="434"/>
      <c r="Z105" s="63"/>
      <c r="AA105" s="63"/>
      <c r="AB105" s="63"/>
      <c r="AC105" s="63"/>
      <c r="AD105" s="407" t="s">
        <v>205</v>
      </c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</row>
    <row r="106" spans="1:43" x14ac:dyDescent="0.25">
      <c r="A106" s="435"/>
      <c r="B106" s="117"/>
      <c r="C106" s="497" t="s">
        <v>18</v>
      </c>
      <c r="D106" s="497" t="s">
        <v>19</v>
      </c>
      <c r="E106" s="497" t="s">
        <v>20</v>
      </c>
      <c r="F106" s="497" t="s">
        <v>21</v>
      </c>
      <c r="G106" s="497" t="s">
        <v>57</v>
      </c>
      <c r="H106" s="497" t="s">
        <v>58</v>
      </c>
      <c r="I106" s="117"/>
      <c r="J106" s="117"/>
      <c r="K106" s="117"/>
      <c r="L106" s="117"/>
      <c r="M106" s="117"/>
      <c r="N106" s="117"/>
      <c r="O106" s="388"/>
      <c r="P106" s="117"/>
      <c r="Q106" s="146" t="s">
        <v>18</v>
      </c>
      <c r="R106" s="146" t="s">
        <v>19</v>
      </c>
      <c r="S106" s="146" t="s">
        <v>20</v>
      </c>
      <c r="T106" s="146" t="s">
        <v>21</v>
      </c>
      <c r="U106" s="146" t="s">
        <v>57</v>
      </c>
      <c r="V106" s="146" t="s">
        <v>58</v>
      </c>
      <c r="W106" s="117"/>
      <c r="X106" s="117"/>
      <c r="Y106" s="434"/>
      <c r="Z106" s="63"/>
      <c r="AA106" s="63"/>
      <c r="AB106" s="63"/>
      <c r="AC106" s="63"/>
      <c r="AD106" s="63"/>
      <c r="AE106" s="407" t="s">
        <v>18</v>
      </c>
      <c r="AF106" s="407" t="s">
        <v>19</v>
      </c>
      <c r="AG106" s="407" t="s">
        <v>20</v>
      </c>
      <c r="AH106" s="407" t="s">
        <v>21</v>
      </c>
      <c r="AI106" s="407" t="s">
        <v>57</v>
      </c>
      <c r="AJ106" s="407" t="s">
        <v>58</v>
      </c>
      <c r="AK106" s="63"/>
      <c r="AL106" s="63"/>
      <c r="AM106" s="63"/>
      <c r="AN106" s="63"/>
      <c r="AO106" s="63"/>
      <c r="AP106" s="63"/>
      <c r="AQ106" s="63"/>
    </row>
    <row r="107" spans="1:43" x14ac:dyDescent="0.25">
      <c r="A107" s="435"/>
      <c r="B107" s="117" t="s">
        <v>36</v>
      </c>
      <c r="C107" s="445">
        <f t="shared" ref="C107:H107" si="94">+C78*$E$90</f>
        <v>3242</v>
      </c>
      <c r="D107" s="445">
        <f t="shared" si="94"/>
        <v>2814</v>
      </c>
      <c r="E107" s="445">
        <f t="shared" si="94"/>
        <v>2702</v>
      </c>
      <c r="F107" s="445">
        <f t="shared" si="94"/>
        <v>2808</v>
      </c>
      <c r="G107" s="445">
        <f t="shared" si="94"/>
        <v>3222</v>
      </c>
      <c r="H107" s="445">
        <f t="shared" si="94"/>
        <v>2726</v>
      </c>
      <c r="I107" s="117" t="s">
        <v>35</v>
      </c>
      <c r="J107" s="117"/>
      <c r="K107" s="117"/>
      <c r="L107" s="117"/>
      <c r="M107" s="117"/>
      <c r="N107" s="117"/>
      <c r="O107" s="388"/>
      <c r="P107" s="117" t="s">
        <v>36</v>
      </c>
      <c r="Q107" s="445">
        <f t="shared" ref="Q107:V107" si="95">+Q78*$S$90</f>
        <v>1095</v>
      </c>
      <c r="R107" s="445">
        <f t="shared" si="95"/>
        <v>883</v>
      </c>
      <c r="S107" s="445">
        <f t="shared" si="95"/>
        <v>869</v>
      </c>
      <c r="T107" s="445">
        <f t="shared" si="95"/>
        <v>874</v>
      </c>
      <c r="U107" s="445">
        <f t="shared" si="95"/>
        <v>911</v>
      </c>
      <c r="V107" s="445">
        <f t="shared" si="95"/>
        <v>792</v>
      </c>
      <c r="W107" s="117" t="s">
        <v>35</v>
      </c>
      <c r="X107" s="117"/>
      <c r="Y107" s="434"/>
      <c r="Z107" s="63"/>
      <c r="AA107" s="63"/>
      <c r="AB107" s="63"/>
      <c r="AC107" s="63"/>
      <c r="AD107" s="63" t="s">
        <v>36</v>
      </c>
      <c r="AE107" s="97">
        <f t="shared" ref="AE107:AJ107" si="96">+AE78*$AG$90</f>
        <v>2266</v>
      </c>
      <c r="AF107" s="108">
        <f t="shared" si="96"/>
        <v>1928</v>
      </c>
      <c r="AG107" s="108">
        <f t="shared" si="96"/>
        <v>1866</v>
      </c>
      <c r="AH107" s="108">
        <f t="shared" si="96"/>
        <v>1902</v>
      </c>
      <c r="AI107" s="108">
        <f t="shared" si="96"/>
        <v>1796</v>
      </c>
      <c r="AJ107" s="108">
        <f t="shared" si="96"/>
        <v>1494</v>
      </c>
      <c r="AK107" s="63" t="s">
        <v>35</v>
      </c>
      <c r="AL107" s="63"/>
      <c r="AM107" s="63"/>
      <c r="AN107" s="63"/>
      <c r="AO107" s="63"/>
      <c r="AP107" s="63"/>
      <c r="AQ107" s="63"/>
    </row>
    <row r="108" spans="1:43" x14ac:dyDescent="0.25">
      <c r="A108" s="435"/>
      <c r="B108" s="117" t="s">
        <v>36</v>
      </c>
      <c r="C108" s="117">
        <f>+D107*$E$86</f>
        <v>281.40000000000003</v>
      </c>
      <c r="D108" s="117">
        <f t="shared" ref="D108:G108" si="97">+E107*$E$86</f>
        <v>270.2</v>
      </c>
      <c r="E108" s="117">
        <f t="shared" si="97"/>
        <v>280.8</v>
      </c>
      <c r="F108" s="117">
        <f t="shared" si="97"/>
        <v>322.20000000000005</v>
      </c>
      <c r="G108" s="117">
        <f t="shared" si="97"/>
        <v>272.60000000000002</v>
      </c>
      <c r="H108" s="117">
        <v>0</v>
      </c>
      <c r="I108" s="117" t="s">
        <v>44</v>
      </c>
      <c r="J108" s="117"/>
      <c r="K108" s="117"/>
      <c r="L108" s="117"/>
      <c r="M108" s="117"/>
      <c r="N108" s="117"/>
      <c r="O108" s="388"/>
      <c r="P108" s="117" t="s">
        <v>36</v>
      </c>
      <c r="Q108" s="117">
        <f>+R107*$S$86</f>
        <v>88.300000000000011</v>
      </c>
      <c r="R108" s="117">
        <f t="shared" ref="R108:U108" si="98">+S107*$S$86</f>
        <v>86.9</v>
      </c>
      <c r="S108" s="117">
        <f t="shared" si="98"/>
        <v>87.4</v>
      </c>
      <c r="T108" s="117">
        <f t="shared" si="98"/>
        <v>91.100000000000009</v>
      </c>
      <c r="U108" s="117">
        <f t="shared" si="98"/>
        <v>79.2</v>
      </c>
      <c r="V108" s="117">
        <v>0</v>
      </c>
      <c r="W108" s="117" t="s">
        <v>44</v>
      </c>
      <c r="X108" s="117"/>
      <c r="Y108" s="434"/>
      <c r="Z108" s="63"/>
      <c r="AA108" s="63"/>
      <c r="AB108" s="63"/>
      <c r="AC108" s="63"/>
      <c r="AD108" s="63" t="s">
        <v>36</v>
      </c>
      <c r="AE108" s="63">
        <f>+AF107*$AG$86</f>
        <v>192.8</v>
      </c>
      <c r="AF108" s="150">
        <f t="shared" ref="AF108:AI108" si="99">+AG107*$AG$86</f>
        <v>186.60000000000002</v>
      </c>
      <c r="AG108" s="150">
        <f t="shared" si="99"/>
        <v>190.20000000000002</v>
      </c>
      <c r="AH108" s="150">
        <f t="shared" si="99"/>
        <v>179.60000000000002</v>
      </c>
      <c r="AI108" s="150">
        <f t="shared" si="99"/>
        <v>149.4</v>
      </c>
      <c r="AJ108" s="63">
        <v>0</v>
      </c>
      <c r="AK108" s="63" t="s">
        <v>44</v>
      </c>
      <c r="AL108" s="63"/>
      <c r="AM108" s="63"/>
      <c r="AN108" s="63"/>
      <c r="AO108" s="63"/>
      <c r="AP108" s="63"/>
      <c r="AQ108" s="63"/>
    </row>
    <row r="109" spans="1:43" ht="15.75" thickBot="1" x14ac:dyDescent="0.3">
      <c r="A109" s="435"/>
      <c r="B109" s="117" t="s">
        <v>27</v>
      </c>
      <c r="C109" s="132">
        <f>+G90</f>
        <v>4</v>
      </c>
      <c r="D109" s="132">
        <f>+C108</f>
        <v>281.40000000000003</v>
      </c>
      <c r="E109" s="132">
        <f t="shared" ref="E109:H109" si="100">+D108</f>
        <v>270.2</v>
      </c>
      <c r="F109" s="132">
        <f t="shared" si="100"/>
        <v>280.8</v>
      </c>
      <c r="G109" s="132">
        <f t="shared" si="100"/>
        <v>322.20000000000005</v>
      </c>
      <c r="H109" s="132">
        <f t="shared" si="100"/>
        <v>272.60000000000002</v>
      </c>
      <c r="I109" s="117" t="s">
        <v>34</v>
      </c>
      <c r="J109" s="117"/>
      <c r="K109" s="117"/>
      <c r="L109" s="117"/>
      <c r="M109" s="117"/>
      <c r="N109" s="117"/>
      <c r="O109" s="388"/>
      <c r="P109" s="117" t="s">
        <v>27</v>
      </c>
      <c r="Q109" s="132">
        <f>+U90</f>
        <v>3</v>
      </c>
      <c r="R109" s="132">
        <f>+Q108</f>
        <v>88.300000000000011</v>
      </c>
      <c r="S109" s="132">
        <f t="shared" ref="S109:V109" si="101">+R108</f>
        <v>86.9</v>
      </c>
      <c r="T109" s="132">
        <f t="shared" si="101"/>
        <v>87.4</v>
      </c>
      <c r="U109" s="132">
        <f t="shared" si="101"/>
        <v>91.100000000000009</v>
      </c>
      <c r="V109" s="132">
        <f t="shared" si="101"/>
        <v>79.2</v>
      </c>
      <c r="W109" s="117" t="s">
        <v>34</v>
      </c>
      <c r="X109" s="117"/>
      <c r="Y109" s="434"/>
      <c r="Z109" s="63"/>
      <c r="AA109" s="63"/>
      <c r="AB109" s="63"/>
      <c r="AC109" s="63"/>
      <c r="AD109" s="63" t="s">
        <v>27</v>
      </c>
      <c r="AE109" s="71">
        <f>+AI90</f>
        <v>0</v>
      </c>
      <c r="AF109" s="71">
        <f>+AE108</f>
        <v>192.8</v>
      </c>
      <c r="AG109" s="71">
        <f t="shared" ref="AG109:AJ109" si="102">+AF108</f>
        <v>186.60000000000002</v>
      </c>
      <c r="AH109" s="71">
        <f t="shared" si="102"/>
        <v>190.20000000000002</v>
      </c>
      <c r="AI109" s="71">
        <f t="shared" si="102"/>
        <v>179.60000000000002</v>
      </c>
      <c r="AJ109" s="71">
        <f t="shared" si="102"/>
        <v>149.4</v>
      </c>
      <c r="AK109" s="63" t="s">
        <v>34</v>
      </c>
      <c r="AL109" s="63"/>
      <c r="AM109" s="63"/>
      <c r="AN109" s="63"/>
      <c r="AO109" s="63"/>
      <c r="AP109" s="63"/>
      <c r="AQ109" s="63"/>
    </row>
    <row r="110" spans="1:43" x14ac:dyDescent="0.25">
      <c r="A110" s="435"/>
      <c r="B110" s="117"/>
      <c r="C110" s="445">
        <f>+ROUNDUP(C107+C108-C109,0)</f>
        <v>3520</v>
      </c>
      <c r="D110" s="445">
        <f t="shared" ref="D110:G110" si="103">+ROUNDUP(D107+D108-D109,0)</f>
        <v>2803</v>
      </c>
      <c r="E110" s="445">
        <f t="shared" si="103"/>
        <v>2713</v>
      </c>
      <c r="F110" s="445">
        <f t="shared" si="103"/>
        <v>2850</v>
      </c>
      <c r="G110" s="445">
        <f t="shared" si="103"/>
        <v>3173</v>
      </c>
      <c r="H110" s="445">
        <v>0</v>
      </c>
      <c r="I110" s="117" t="s">
        <v>37</v>
      </c>
      <c r="J110" s="117"/>
      <c r="K110" s="117"/>
      <c r="L110" s="117"/>
      <c r="M110" s="117"/>
      <c r="N110" s="117"/>
      <c r="O110" s="388"/>
      <c r="P110" s="117"/>
      <c r="Q110" s="445">
        <f>+ROUNDUP(Q107+Q108-Q109,0)</f>
        <v>1181</v>
      </c>
      <c r="R110" s="445">
        <f t="shared" ref="R110" si="104">+ROUNDUP(R107+R108-R109,0)</f>
        <v>882</v>
      </c>
      <c r="S110" s="445">
        <f t="shared" ref="S110" si="105">+ROUNDUP(S107+S108-S109,0)</f>
        <v>870</v>
      </c>
      <c r="T110" s="445">
        <f t="shared" ref="T110" si="106">+ROUNDUP(T107+T108-T109,0)</f>
        <v>878</v>
      </c>
      <c r="U110" s="445">
        <f t="shared" ref="U110" si="107">+ROUNDUP(U107+U108-U109,0)</f>
        <v>900</v>
      </c>
      <c r="V110" s="445">
        <v>0</v>
      </c>
      <c r="W110" s="117" t="s">
        <v>37</v>
      </c>
      <c r="X110" s="117"/>
      <c r="Y110" s="434"/>
      <c r="Z110" s="63"/>
      <c r="AA110" s="63"/>
      <c r="AB110" s="63"/>
      <c r="AC110" s="63"/>
      <c r="AD110" s="63"/>
      <c r="AE110" s="108">
        <f>+AE107+AE108-AE109</f>
        <v>2458.8000000000002</v>
      </c>
      <c r="AF110" s="108">
        <f t="shared" ref="AF110:AJ110" si="108">+AF107+AF108-AF109</f>
        <v>1921.8</v>
      </c>
      <c r="AG110" s="108">
        <f t="shared" si="108"/>
        <v>1869.6</v>
      </c>
      <c r="AH110" s="108">
        <f t="shared" si="108"/>
        <v>1891.3999999999999</v>
      </c>
      <c r="AI110" s="108">
        <f t="shared" si="108"/>
        <v>1765.8000000000002</v>
      </c>
      <c r="AJ110" s="108">
        <f t="shared" si="108"/>
        <v>1344.6</v>
      </c>
      <c r="AK110" s="63" t="s">
        <v>37</v>
      </c>
      <c r="AL110" s="63"/>
      <c r="AM110" s="63"/>
      <c r="AN110" s="63"/>
      <c r="AO110" s="63"/>
      <c r="AP110" s="63"/>
      <c r="AQ110" s="63"/>
    </row>
    <row r="111" spans="1:43" ht="15.75" thickBot="1" x14ac:dyDescent="0.3">
      <c r="A111" s="435"/>
      <c r="B111" s="117"/>
      <c r="C111" s="77"/>
      <c r="D111" s="77"/>
      <c r="E111" s="77"/>
      <c r="F111" s="77"/>
      <c r="G111" s="83"/>
      <c r="H111" s="83"/>
      <c r="I111" s="117"/>
      <c r="J111" s="117"/>
      <c r="K111" s="117"/>
      <c r="L111" s="117"/>
      <c r="M111" s="117"/>
      <c r="N111" s="117"/>
      <c r="O111" s="388"/>
      <c r="P111" s="117"/>
      <c r="Q111" s="77"/>
      <c r="R111" s="77"/>
      <c r="S111" s="77"/>
      <c r="T111" s="77"/>
      <c r="U111" s="83"/>
      <c r="V111" s="83"/>
      <c r="W111" s="117"/>
      <c r="X111" s="117"/>
      <c r="Y111" s="434"/>
      <c r="Z111" s="63"/>
      <c r="AA111" s="63"/>
      <c r="AB111" s="63"/>
      <c r="AC111" s="63"/>
      <c r="AD111" s="63"/>
      <c r="AE111" s="77"/>
      <c r="AF111" s="77"/>
      <c r="AG111" s="77"/>
      <c r="AH111" s="77"/>
      <c r="AI111" s="83"/>
      <c r="AJ111" s="83"/>
      <c r="AK111" s="63"/>
      <c r="AL111" s="63"/>
      <c r="AM111" s="63"/>
      <c r="AN111" s="63"/>
      <c r="AO111" s="63"/>
      <c r="AP111" s="63"/>
      <c r="AQ111" s="63"/>
    </row>
    <row r="112" spans="1:43" x14ac:dyDescent="0.25">
      <c r="A112" s="435"/>
      <c r="B112" s="117"/>
      <c r="C112" s="444">
        <f>+C110*$F$90</f>
        <v>1936000</v>
      </c>
      <c r="D112" s="444">
        <f t="shared" ref="D112:H112" si="109">+D110*$F$90</f>
        <v>1541650</v>
      </c>
      <c r="E112" s="444">
        <f t="shared" si="109"/>
        <v>1492150</v>
      </c>
      <c r="F112" s="444">
        <f t="shared" si="109"/>
        <v>1567500</v>
      </c>
      <c r="G112" s="444">
        <f t="shared" si="109"/>
        <v>1745150</v>
      </c>
      <c r="H112" s="444">
        <f t="shared" si="109"/>
        <v>0</v>
      </c>
      <c r="I112" s="117" t="s">
        <v>39</v>
      </c>
      <c r="J112" s="117"/>
      <c r="K112" s="117"/>
      <c r="L112" s="117"/>
      <c r="M112" s="117"/>
      <c r="N112" s="117"/>
      <c r="O112" s="388"/>
      <c r="P112" s="117"/>
      <c r="Q112" s="506">
        <f>+Q110*$T$90</f>
        <v>1062900</v>
      </c>
      <c r="R112" s="506">
        <f t="shared" ref="R112:V112" si="110">+R110*$T$90</f>
        <v>793800</v>
      </c>
      <c r="S112" s="506">
        <f t="shared" si="110"/>
        <v>783000</v>
      </c>
      <c r="T112" s="506">
        <f t="shared" si="110"/>
        <v>790200</v>
      </c>
      <c r="U112" s="506">
        <f t="shared" si="110"/>
        <v>810000</v>
      </c>
      <c r="V112" s="506">
        <f t="shared" si="110"/>
        <v>0</v>
      </c>
      <c r="W112" s="117" t="s">
        <v>39</v>
      </c>
      <c r="X112" s="117"/>
      <c r="Y112" s="434"/>
      <c r="Z112" s="63"/>
      <c r="AA112" s="63"/>
      <c r="AB112" s="63"/>
      <c r="AC112" s="63"/>
      <c r="AD112" s="63"/>
      <c r="AE112" s="516">
        <f>+AE110*$AH$90</f>
        <v>5655240</v>
      </c>
      <c r="AF112" s="516">
        <f t="shared" ref="AF112:AI112" si="111">+AF110*$AH$90</f>
        <v>4420140</v>
      </c>
      <c r="AG112" s="516">
        <f t="shared" si="111"/>
        <v>4300080</v>
      </c>
      <c r="AH112" s="516">
        <f t="shared" si="111"/>
        <v>4350220</v>
      </c>
      <c r="AI112" s="516">
        <f t="shared" si="111"/>
        <v>4061340.0000000005</v>
      </c>
      <c r="AJ112" s="516">
        <v>0</v>
      </c>
      <c r="AK112" s="63" t="s">
        <v>39</v>
      </c>
      <c r="AL112" s="63"/>
      <c r="AM112" s="63"/>
      <c r="AN112" s="63"/>
      <c r="AO112" s="63"/>
      <c r="AP112" s="63"/>
      <c r="AQ112" s="63"/>
    </row>
    <row r="113" spans="1:43" x14ac:dyDescent="0.25">
      <c r="A113" s="435"/>
      <c r="B113" s="117"/>
      <c r="C113" s="444"/>
      <c r="D113" s="444"/>
      <c r="E113" s="444"/>
      <c r="F113" s="444"/>
      <c r="G113" s="117"/>
      <c r="H113" s="117"/>
      <c r="I113" s="117"/>
      <c r="J113" s="117"/>
      <c r="K113" s="117"/>
      <c r="L113" s="117"/>
      <c r="M113" s="117"/>
      <c r="N113" s="117"/>
      <c r="O113" s="388"/>
      <c r="P113" s="117"/>
      <c r="Q113" s="444"/>
      <c r="R113" s="444"/>
      <c r="S113" s="444"/>
      <c r="T113" s="444"/>
      <c r="U113" s="117"/>
      <c r="V113" s="117"/>
      <c r="W113" s="117"/>
      <c r="X113" s="117"/>
      <c r="Y113" s="434"/>
      <c r="Z113" s="63"/>
      <c r="AA113" s="63"/>
      <c r="AB113" s="63"/>
      <c r="AC113" s="63"/>
      <c r="AD113" s="63"/>
      <c r="AE113" s="516"/>
      <c r="AF113" s="516"/>
      <c r="AG113" s="516"/>
      <c r="AH113" s="516"/>
      <c r="AI113" s="63"/>
      <c r="AJ113" s="63"/>
      <c r="AK113" s="63"/>
      <c r="AL113" s="63"/>
      <c r="AM113" s="63"/>
      <c r="AN113" s="63"/>
      <c r="AO113" s="63"/>
      <c r="AP113" s="63"/>
      <c r="AQ113" s="63"/>
    </row>
    <row r="114" spans="1:43" x14ac:dyDescent="0.25">
      <c r="A114" s="435"/>
      <c r="B114" s="497" t="s">
        <v>288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388"/>
      <c r="P114" s="146" t="s">
        <v>293</v>
      </c>
      <c r="Q114" s="117"/>
      <c r="R114" s="117"/>
      <c r="S114" s="117"/>
      <c r="T114" s="117"/>
      <c r="U114" s="117"/>
      <c r="V114" s="117"/>
      <c r="W114" s="117"/>
      <c r="X114" s="117"/>
      <c r="Y114" s="434"/>
      <c r="Z114" s="63"/>
      <c r="AA114" s="63"/>
      <c r="AB114" s="63"/>
      <c r="AC114" s="63"/>
      <c r="AD114" s="407" t="s">
        <v>289</v>
      </c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</row>
    <row r="115" spans="1:43" x14ac:dyDescent="0.25">
      <c r="A115" s="435"/>
      <c r="B115" s="117"/>
      <c r="C115" s="497" t="s">
        <v>18</v>
      </c>
      <c r="D115" s="497" t="s">
        <v>19</v>
      </c>
      <c r="E115" s="497" t="s">
        <v>20</v>
      </c>
      <c r="F115" s="497" t="s">
        <v>21</v>
      </c>
      <c r="G115" s="497" t="s">
        <v>57</v>
      </c>
      <c r="H115" s="497" t="s">
        <v>58</v>
      </c>
      <c r="I115" s="117"/>
      <c r="J115" s="117"/>
      <c r="K115" s="117"/>
      <c r="L115" s="117"/>
      <c r="M115" s="117"/>
      <c r="N115" s="117"/>
      <c r="O115" s="388"/>
      <c r="P115" s="117"/>
      <c r="Q115" s="146" t="s">
        <v>18</v>
      </c>
      <c r="R115" s="146" t="s">
        <v>19</v>
      </c>
      <c r="S115" s="146" t="s">
        <v>20</v>
      </c>
      <c r="T115" s="146" t="s">
        <v>21</v>
      </c>
      <c r="U115" s="146" t="s">
        <v>57</v>
      </c>
      <c r="V115" s="146" t="s">
        <v>58</v>
      </c>
      <c r="W115" s="117"/>
      <c r="X115" s="117"/>
      <c r="Y115" s="434"/>
      <c r="Z115" s="63"/>
      <c r="AA115" s="63"/>
      <c r="AB115" s="63"/>
      <c r="AC115" s="63"/>
      <c r="AD115" s="63"/>
      <c r="AE115" s="407" t="s">
        <v>18</v>
      </c>
      <c r="AF115" s="407" t="s">
        <v>19</v>
      </c>
      <c r="AG115" s="407" t="s">
        <v>20</v>
      </c>
      <c r="AH115" s="407" t="s">
        <v>21</v>
      </c>
      <c r="AI115" s="407" t="s">
        <v>57</v>
      </c>
      <c r="AJ115" s="407" t="s">
        <v>58</v>
      </c>
      <c r="AK115" s="63"/>
      <c r="AL115" s="63"/>
      <c r="AM115" s="63"/>
      <c r="AN115" s="63"/>
      <c r="AO115" s="63"/>
      <c r="AP115" s="63"/>
      <c r="AQ115" s="63"/>
    </row>
    <row r="116" spans="1:43" x14ac:dyDescent="0.25">
      <c r="A116" s="435"/>
      <c r="B116" s="117" t="s">
        <v>36</v>
      </c>
      <c r="C116" s="445">
        <f t="shared" ref="C116:H116" si="112">+C78*$E$91</f>
        <v>1621</v>
      </c>
      <c r="D116" s="445">
        <f t="shared" si="112"/>
        <v>1407</v>
      </c>
      <c r="E116" s="445">
        <f t="shared" si="112"/>
        <v>1351</v>
      </c>
      <c r="F116" s="445">
        <f t="shared" si="112"/>
        <v>1404</v>
      </c>
      <c r="G116" s="445">
        <f t="shared" si="112"/>
        <v>1611</v>
      </c>
      <c r="H116" s="445">
        <f t="shared" si="112"/>
        <v>1363</v>
      </c>
      <c r="I116" s="117" t="s">
        <v>35</v>
      </c>
      <c r="J116" s="117"/>
      <c r="K116" s="117"/>
      <c r="L116" s="117"/>
      <c r="M116" s="117"/>
      <c r="N116" s="117"/>
      <c r="O116" s="388"/>
      <c r="P116" s="117" t="s">
        <v>36</v>
      </c>
      <c r="Q116" s="445">
        <f t="shared" ref="Q116:V116" si="113">+Q78*$S$91</f>
        <v>2190</v>
      </c>
      <c r="R116" s="445">
        <f t="shared" si="113"/>
        <v>1766</v>
      </c>
      <c r="S116" s="445">
        <f t="shared" si="113"/>
        <v>1738</v>
      </c>
      <c r="T116" s="445">
        <f t="shared" si="113"/>
        <v>1748</v>
      </c>
      <c r="U116" s="445">
        <f t="shared" si="113"/>
        <v>1822</v>
      </c>
      <c r="V116" s="445">
        <f t="shared" si="113"/>
        <v>1584</v>
      </c>
      <c r="W116" s="117" t="s">
        <v>35</v>
      </c>
      <c r="X116" s="117"/>
      <c r="Y116" s="434" t="s">
        <v>195</v>
      </c>
      <c r="Z116" s="63"/>
      <c r="AA116" s="63"/>
      <c r="AB116" s="63"/>
      <c r="AC116" s="63"/>
      <c r="AD116" s="63" t="s">
        <v>36</v>
      </c>
      <c r="AE116" s="97">
        <f t="shared" ref="AE116:AJ116" si="114">+AE78*$AG$91</f>
        <v>9064</v>
      </c>
      <c r="AF116" s="108">
        <f t="shared" si="114"/>
        <v>7712</v>
      </c>
      <c r="AG116" s="108">
        <f t="shared" si="114"/>
        <v>7464</v>
      </c>
      <c r="AH116" s="108">
        <f t="shared" si="114"/>
        <v>7608</v>
      </c>
      <c r="AI116" s="108">
        <f t="shared" si="114"/>
        <v>7184</v>
      </c>
      <c r="AJ116" s="108">
        <f t="shared" si="114"/>
        <v>5976</v>
      </c>
      <c r="AK116" s="63" t="s">
        <v>35</v>
      </c>
      <c r="AL116" s="63"/>
      <c r="AM116" s="63"/>
      <c r="AN116" s="63"/>
      <c r="AO116" s="63"/>
      <c r="AP116" s="63"/>
      <c r="AQ116" s="63"/>
    </row>
    <row r="117" spans="1:43" x14ac:dyDescent="0.25">
      <c r="A117" s="435"/>
      <c r="B117" s="117" t="s">
        <v>36</v>
      </c>
      <c r="C117" s="117">
        <f>+D116*$E$86</f>
        <v>140.70000000000002</v>
      </c>
      <c r="D117" s="117">
        <f t="shared" ref="D117:G117" si="115">+E116*$E$86</f>
        <v>135.1</v>
      </c>
      <c r="E117" s="117">
        <f t="shared" si="115"/>
        <v>140.4</v>
      </c>
      <c r="F117" s="117">
        <f t="shared" si="115"/>
        <v>161.10000000000002</v>
      </c>
      <c r="G117" s="117">
        <f t="shared" si="115"/>
        <v>136.30000000000001</v>
      </c>
      <c r="H117" s="117">
        <v>0</v>
      </c>
      <c r="I117" s="117" t="s">
        <v>44</v>
      </c>
      <c r="J117" s="117"/>
      <c r="K117" s="117"/>
      <c r="L117" s="117"/>
      <c r="M117" s="117"/>
      <c r="N117" s="117"/>
      <c r="O117" s="388"/>
      <c r="P117" s="117" t="s">
        <v>36</v>
      </c>
      <c r="Q117" s="117">
        <f>+R116*$S$86</f>
        <v>176.60000000000002</v>
      </c>
      <c r="R117" s="117">
        <f t="shared" ref="R117:U117" si="116">+S116*$S$86</f>
        <v>173.8</v>
      </c>
      <c r="S117" s="117">
        <f t="shared" si="116"/>
        <v>174.8</v>
      </c>
      <c r="T117" s="117">
        <f t="shared" si="116"/>
        <v>182.20000000000002</v>
      </c>
      <c r="U117" s="117">
        <f t="shared" si="116"/>
        <v>158.4</v>
      </c>
      <c r="V117" s="117">
        <v>0</v>
      </c>
      <c r="W117" s="117" t="s">
        <v>44</v>
      </c>
      <c r="X117" s="117"/>
      <c r="Y117" s="434"/>
      <c r="Z117" s="63"/>
      <c r="AA117" s="63"/>
      <c r="AB117" s="63"/>
      <c r="AC117" s="63"/>
      <c r="AD117" s="63" t="s">
        <v>36</v>
      </c>
      <c r="AE117" s="63">
        <f>+AF116*$AG$86</f>
        <v>771.2</v>
      </c>
      <c r="AF117" s="150">
        <f t="shared" ref="AF117:AI117" si="117">+AG116*$AG$86</f>
        <v>746.40000000000009</v>
      </c>
      <c r="AG117" s="150">
        <f t="shared" si="117"/>
        <v>760.80000000000007</v>
      </c>
      <c r="AH117" s="150">
        <f t="shared" si="117"/>
        <v>718.40000000000009</v>
      </c>
      <c r="AI117" s="150">
        <f t="shared" si="117"/>
        <v>597.6</v>
      </c>
      <c r="AJ117" s="150">
        <v>0</v>
      </c>
      <c r="AK117" s="63" t="s">
        <v>44</v>
      </c>
      <c r="AL117" s="63"/>
      <c r="AM117" s="63"/>
      <c r="AN117" s="63"/>
      <c r="AO117" s="63"/>
      <c r="AP117" s="63"/>
      <c r="AQ117" s="63"/>
    </row>
    <row r="118" spans="1:43" ht="15.75" thickBot="1" x14ac:dyDescent="0.3">
      <c r="A118" s="435"/>
      <c r="B118" s="117" t="s">
        <v>27</v>
      </c>
      <c r="C118" s="132">
        <f>+G91</f>
        <v>5</v>
      </c>
      <c r="D118" s="132">
        <f>+C117</f>
        <v>140.70000000000002</v>
      </c>
      <c r="E118" s="132">
        <f t="shared" ref="E118:H118" si="118">+D117</f>
        <v>135.1</v>
      </c>
      <c r="F118" s="132">
        <f t="shared" si="118"/>
        <v>140.4</v>
      </c>
      <c r="G118" s="132">
        <f t="shared" si="118"/>
        <v>161.10000000000002</v>
      </c>
      <c r="H118" s="132">
        <f t="shared" si="118"/>
        <v>136.30000000000001</v>
      </c>
      <c r="I118" s="117" t="s">
        <v>34</v>
      </c>
      <c r="J118" s="117"/>
      <c r="K118" s="117"/>
      <c r="L118" s="117"/>
      <c r="M118" s="117"/>
      <c r="N118" s="117"/>
      <c r="O118" s="388"/>
      <c r="P118" s="117" t="s">
        <v>27</v>
      </c>
      <c r="Q118" s="132">
        <f>+U91</f>
        <v>1</v>
      </c>
      <c r="R118" s="132">
        <f>+Q117</f>
        <v>176.60000000000002</v>
      </c>
      <c r="S118" s="132">
        <f t="shared" ref="S118:V118" si="119">+R117</f>
        <v>173.8</v>
      </c>
      <c r="T118" s="132">
        <f t="shared" si="119"/>
        <v>174.8</v>
      </c>
      <c r="U118" s="132">
        <f t="shared" si="119"/>
        <v>182.20000000000002</v>
      </c>
      <c r="V118" s="132">
        <f t="shared" si="119"/>
        <v>158.4</v>
      </c>
      <c r="W118" s="117" t="s">
        <v>34</v>
      </c>
      <c r="X118" s="117"/>
      <c r="Y118" s="434"/>
      <c r="Z118" s="63"/>
      <c r="AA118" s="63"/>
      <c r="AB118" s="63"/>
      <c r="AC118" s="63"/>
      <c r="AD118" s="63" t="s">
        <v>27</v>
      </c>
      <c r="AE118" s="71">
        <f>+AI91</f>
        <v>0</v>
      </c>
      <c r="AF118" s="71">
        <f>+AE117</f>
        <v>771.2</v>
      </c>
      <c r="AG118" s="132">
        <f t="shared" ref="AG118:AJ118" si="120">+AF117</f>
        <v>746.40000000000009</v>
      </c>
      <c r="AH118" s="132">
        <f t="shared" si="120"/>
        <v>760.80000000000007</v>
      </c>
      <c r="AI118" s="132">
        <f t="shared" si="120"/>
        <v>718.40000000000009</v>
      </c>
      <c r="AJ118" s="132">
        <f t="shared" si="120"/>
        <v>597.6</v>
      </c>
      <c r="AK118" s="63" t="s">
        <v>34</v>
      </c>
      <c r="AL118" s="63"/>
      <c r="AM118" s="63"/>
      <c r="AN118" s="63"/>
      <c r="AO118" s="63"/>
      <c r="AP118" s="63"/>
      <c r="AQ118" s="63"/>
    </row>
    <row r="119" spans="1:43" x14ac:dyDescent="0.25">
      <c r="A119" s="435"/>
      <c r="B119" s="117"/>
      <c r="C119" s="445">
        <f>+ROUNDUP(C116+C117-C118,0)</f>
        <v>1757</v>
      </c>
      <c r="D119" s="445">
        <f t="shared" ref="D119:G119" si="121">+ROUNDUP(D116+D117-D118,0)</f>
        <v>1402</v>
      </c>
      <c r="E119" s="445">
        <f t="shared" si="121"/>
        <v>1357</v>
      </c>
      <c r="F119" s="445">
        <f t="shared" si="121"/>
        <v>1425</v>
      </c>
      <c r="G119" s="445">
        <f t="shared" si="121"/>
        <v>1587</v>
      </c>
      <c r="H119" s="445"/>
      <c r="I119" s="117" t="s">
        <v>37</v>
      </c>
      <c r="J119" s="117"/>
      <c r="K119" s="117"/>
      <c r="L119" s="117"/>
      <c r="M119" s="117"/>
      <c r="N119" s="117"/>
      <c r="O119" s="388"/>
      <c r="P119" s="117"/>
      <c r="Q119" s="445">
        <f>+ROUNDUP(Q116+Q117-Q118,0)</f>
        <v>2366</v>
      </c>
      <c r="R119" s="445">
        <f t="shared" ref="R119:V119" si="122">+ROUNDUP(R116+R117-R118,0)</f>
        <v>1764</v>
      </c>
      <c r="S119" s="445">
        <f t="shared" si="122"/>
        <v>1739</v>
      </c>
      <c r="T119" s="445">
        <f t="shared" si="122"/>
        <v>1756</v>
      </c>
      <c r="U119" s="445">
        <f t="shared" si="122"/>
        <v>1799</v>
      </c>
      <c r="V119" s="445">
        <f t="shared" si="122"/>
        <v>1426</v>
      </c>
      <c r="W119" s="117" t="s">
        <v>37</v>
      </c>
      <c r="X119" s="117"/>
      <c r="Y119" s="434"/>
      <c r="Z119" s="63"/>
      <c r="AA119" s="63"/>
      <c r="AB119" s="63"/>
      <c r="AC119" s="63"/>
      <c r="AD119" s="63"/>
      <c r="AE119" s="97">
        <f>++ROUNDUP(AE116+AE117-AE118,0)</f>
        <v>9836</v>
      </c>
      <c r="AF119" s="97">
        <f t="shared" ref="AF119" si="123">++ROUNDUP(AF116+AF117-AF118,0)</f>
        <v>7688</v>
      </c>
      <c r="AG119" s="97">
        <f t="shared" ref="AG119" si="124">++ROUNDUP(AG116+AG117-AG118,0)</f>
        <v>7479</v>
      </c>
      <c r="AH119" s="97">
        <f t="shared" ref="AH119" si="125">++ROUNDUP(AH116+AH117-AH118,0)</f>
        <v>7566</v>
      </c>
      <c r="AI119" s="97">
        <f t="shared" ref="AI119" si="126">++ROUNDUP(AI116+AI117-AI118,0)</f>
        <v>7064</v>
      </c>
      <c r="AJ119" s="63">
        <v>0</v>
      </c>
      <c r="AK119" s="63" t="s">
        <v>37</v>
      </c>
      <c r="AL119" s="63"/>
      <c r="AM119" s="63"/>
      <c r="AN119" s="63"/>
      <c r="AO119" s="63"/>
      <c r="AP119" s="63"/>
      <c r="AQ119" s="63"/>
    </row>
    <row r="120" spans="1:43" ht="15.75" thickBot="1" x14ac:dyDescent="0.3">
      <c r="A120" s="435"/>
      <c r="B120" s="117"/>
      <c r="C120" s="77"/>
      <c r="D120" s="77"/>
      <c r="E120" s="77"/>
      <c r="F120" s="77"/>
      <c r="G120" s="83"/>
      <c r="H120" s="83"/>
      <c r="I120" s="117"/>
      <c r="J120" s="117"/>
      <c r="K120" s="117"/>
      <c r="L120" s="117"/>
      <c r="M120" s="117"/>
      <c r="N120" s="117"/>
      <c r="O120" s="388"/>
      <c r="P120" s="117"/>
      <c r="Q120" s="77"/>
      <c r="R120" s="77"/>
      <c r="S120" s="77"/>
      <c r="T120" s="77"/>
      <c r="U120" s="83"/>
      <c r="V120" s="83"/>
      <c r="W120" s="117"/>
      <c r="X120" s="117"/>
      <c r="Y120" s="434"/>
      <c r="Z120" s="63"/>
      <c r="AA120" s="63"/>
      <c r="AB120" s="63"/>
      <c r="AC120" s="63"/>
      <c r="AD120" s="63"/>
      <c r="AE120" s="77"/>
      <c r="AF120" s="77"/>
      <c r="AG120" s="77"/>
      <c r="AH120" s="77"/>
      <c r="AI120" s="83"/>
      <c r="AJ120" s="83"/>
      <c r="AK120" s="63"/>
      <c r="AL120" s="63"/>
      <c r="AM120" s="63"/>
      <c r="AN120" s="63"/>
      <c r="AO120" s="63"/>
      <c r="AP120" s="63"/>
      <c r="AQ120" s="63"/>
    </row>
    <row r="121" spans="1:43" x14ac:dyDescent="0.25">
      <c r="A121" s="435"/>
      <c r="B121" s="117"/>
      <c r="C121" s="444">
        <f>+C119*$F$91</f>
        <v>1317750</v>
      </c>
      <c r="D121" s="444">
        <f t="shared" ref="D121:H121" si="127">+D119*$F$91</f>
        <v>1051500</v>
      </c>
      <c r="E121" s="444">
        <f t="shared" si="127"/>
        <v>1017750</v>
      </c>
      <c r="F121" s="444">
        <f t="shared" si="127"/>
        <v>1068750</v>
      </c>
      <c r="G121" s="444">
        <f t="shared" si="127"/>
        <v>1190250</v>
      </c>
      <c r="H121" s="444">
        <f t="shared" si="127"/>
        <v>0</v>
      </c>
      <c r="I121" s="117" t="s">
        <v>38</v>
      </c>
      <c r="J121" s="117"/>
      <c r="K121" s="117"/>
      <c r="L121" s="117"/>
      <c r="M121" s="117"/>
      <c r="N121" s="117"/>
      <c r="O121" s="388"/>
      <c r="P121" s="117"/>
      <c r="Q121" s="506">
        <f>+Q119*$T$91</f>
        <v>1774500</v>
      </c>
      <c r="R121" s="506">
        <f t="shared" ref="R121:V121" si="128">+R119*$T$91</f>
        <v>1323000</v>
      </c>
      <c r="S121" s="506">
        <f t="shared" si="128"/>
        <v>1304250</v>
      </c>
      <c r="T121" s="506">
        <f t="shared" si="128"/>
        <v>1317000</v>
      </c>
      <c r="U121" s="506">
        <f t="shared" si="128"/>
        <v>1349250</v>
      </c>
      <c r="V121" s="506">
        <f t="shared" si="128"/>
        <v>1069500</v>
      </c>
      <c r="W121" s="117" t="s">
        <v>38</v>
      </c>
      <c r="X121" s="117"/>
      <c r="Y121" s="434"/>
      <c r="Z121" s="63"/>
      <c r="AA121" s="63"/>
      <c r="AB121" s="63"/>
      <c r="AC121" s="63"/>
      <c r="AD121" s="63"/>
      <c r="AE121" s="516">
        <f>+AE119*$AH$91</f>
        <v>1967200</v>
      </c>
      <c r="AF121" s="516">
        <f t="shared" ref="AF121:AJ121" si="129">+AF119*$AH$91</f>
        <v>1537600</v>
      </c>
      <c r="AG121" s="516">
        <f t="shared" si="129"/>
        <v>1495800</v>
      </c>
      <c r="AH121" s="516">
        <f t="shared" si="129"/>
        <v>1513200</v>
      </c>
      <c r="AI121" s="516">
        <f t="shared" si="129"/>
        <v>1412800</v>
      </c>
      <c r="AJ121" s="516">
        <f t="shared" si="129"/>
        <v>0</v>
      </c>
      <c r="AK121" s="63" t="s">
        <v>38</v>
      </c>
      <c r="AL121" s="63"/>
      <c r="AM121" s="63"/>
      <c r="AN121" s="63"/>
      <c r="AO121" s="63"/>
      <c r="AP121" s="63"/>
      <c r="AQ121" s="63"/>
    </row>
    <row r="122" spans="1:43" x14ac:dyDescent="0.25">
      <c r="A122" s="435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388"/>
      <c r="P122" s="117"/>
      <c r="Q122" s="117"/>
      <c r="R122" s="117"/>
      <c r="S122" s="117"/>
      <c r="T122" s="117"/>
      <c r="U122" s="117"/>
      <c r="V122" s="117"/>
      <c r="W122" s="117"/>
      <c r="X122" s="117"/>
      <c r="Y122" s="434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</row>
    <row r="123" spans="1:43" x14ac:dyDescent="0.25">
      <c r="A123" s="435"/>
      <c r="B123" s="497" t="s">
        <v>289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388"/>
      <c r="P123" s="146" t="s">
        <v>294</v>
      </c>
      <c r="Q123" s="117"/>
      <c r="R123" s="117"/>
      <c r="S123" s="117"/>
      <c r="T123" s="117"/>
      <c r="U123" s="117"/>
      <c r="V123" s="117"/>
      <c r="W123" s="117"/>
      <c r="X123" s="117"/>
      <c r="Y123" s="434"/>
      <c r="Z123" s="63"/>
      <c r="AA123" s="63"/>
      <c r="AB123" s="63"/>
      <c r="AC123" s="63"/>
      <c r="AD123" s="407" t="s">
        <v>290</v>
      </c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</row>
    <row r="124" spans="1:43" x14ac:dyDescent="0.25">
      <c r="A124" s="435"/>
      <c r="B124" s="117"/>
      <c r="C124" s="497" t="s">
        <v>18</v>
      </c>
      <c r="D124" s="497" t="s">
        <v>19</v>
      </c>
      <c r="E124" s="497" t="s">
        <v>20</v>
      </c>
      <c r="F124" s="497" t="s">
        <v>21</v>
      </c>
      <c r="G124" s="497" t="s">
        <v>57</v>
      </c>
      <c r="H124" s="497" t="s">
        <v>58</v>
      </c>
      <c r="I124" s="117"/>
      <c r="J124" s="117"/>
      <c r="K124" s="117"/>
      <c r="L124" s="117"/>
      <c r="M124" s="117"/>
      <c r="N124" s="117"/>
      <c r="O124" s="388"/>
      <c r="P124" s="117"/>
      <c r="Q124" s="146" t="s">
        <v>18</v>
      </c>
      <c r="R124" s="146" t="s">
        <v>19</v>
      </c>
      <c r="S124" s="146" t="s">
        <v>20</v>
      </c>
      <c r="T124" s="146" t="s">
        <v>21</v>
      </c>
      <c r="U124" s="146" t="s">
        <v>57</v>
      </c>
      <c r="V124" s="146" t="s">
        <v>58</v>
      </c>
      <c r="W124" s="117"/>
      <c r="X124" s="117"/>
      <c r="Y124" s="434"/>
      <c r="Z124" s="63"/>
      <c r="AA124" s="63"/>
      <c r="AB124" s="63"/>
      <c r="AC124" s="63"/>
      <c r="AD124" s="407"/>
      <c r="AE124" s="407" t="s">
        <v>18</v>
      </c>
      <c r="AF124" s="407" t="s">
        <v>19</v>
      </c>
      <c r="AG124" s="407" t="s">
        <v>20</v>
      </c>
      <c r="AH124" s="407" t="s">
        <v>21</v>
      </c>
      <c r="AI124" s="407" t="s">
        <v>57</v>
      </c>
      <c r="AJ124" s="407" t="s">
        <v>58</v>
      </c>
      <c r="AK124" s="63"/>
      <c r="AL124" s="63"/>
      <c r="AM124" s="63"/>
      <c r="AN124" s="63"/>
      <c r="AO124" s="63"/>
      <c r="AP124" s="63"/>
      <c r="AQ124" s="63"/>
    </row>
    <row r="125" spans="1:43" x14ac:dyDescent="0.25">
      <c r="A125" s="435"/>
      <c r="B125" s="117" t="s">
        <v>36</v>
      </c>
      <c r="C125" s="445">
        <f t="shared" ref="C125:H125" si="130">+C78*$E$92</f>
        <v>22694</v>
      </c>
      <c r="D125" s="445">
        <f t="shared" si="130"/>
        <v>19698</v>
      </c>
      <c r="E125" s="445">
        <f t="shared" si="130"/>
        <v>18914</v>
      </c>
      <c r="F125" s="445">
        <f t="shared" si="130"/>
        <v>19656</v>
      </c>
      <c r="G125" s="445">
        <f t="shared" si="130"/>
        <v>22554</v>
      </c>
      <c r="H125" s="445">
        <f t="shared" si="130"/>
        <v>19082</v>
      </c>
      <c r="I125" s="117" t="s">
        <v>35</v>
      </c>
      <c r="J125" s="117"/>
      <c r="K125" s="117"/>
      <c r="L125" s="117"/>
      <c r="M125" s="117"/>
      <c r="N125" s="117"/>
      <c r="O125" s="388"/>
      <c r="P125" s="117" t="s">
        <v>36</v>
      </c>
      <c r="Q125" s="445">
        <f t="shared" ref="Q125:V125" si="131">+Q78*$S$92</f>
        <v>4380</v>
      </c>
      <c r="R125" s="445">
        <f t="shared" si="131"/>
        <v>3532</v>
      </c>
      <c r="S125" s="445">
        <f t="shared" si="131"/>
        <v>3476</v>
      </c>
      <c r="T125" s="445">
        <f t="shared" si="131"/>
        <v>3496</v>
      </c>
      <c r="U125" s="445">
        <f t="shared" si="131"/>
        <v>3644</v>
      </c>
      <c r="V125" s="445">
        <f t="shared" si="131"/>
        <v>3168</v>
      </c>
      <c r="W125" s="117" t="s">
        <v>35</v>
      </c>
      <c r="X125" s="117"/>
      <c r="Y125" s="434"/>
      <c r="Z125" s="63"/>
      <c r="AA125" s="63"/>
      <c r="AB125" s="63"/>
      <c r="AC125" s="63"/>
      <c r="AD125" s="63" t="s">
        <v>36</v>
      </c>
      <c r="AE125" s="97">
        <f t="shared" ref="AE125:AJ125" si="132">+AE78*$AG$92</f>
        <v>50985</v>
      </c>
      <c r="AF125" s="108">
        <f t="shared" si="132"/>
        <v>43380</v>
      </c>
      <c r="AG125" s="108">
        <f t="shared" si="132"/>
        <v>41985</v>
      </c>
      <c r="AH125" s="108">
        <f t="shared" si="132"/>
        <v>42795</v>
      </c>
      <c r="AI125" s="108">
        <f t="shared" si="132"/>
        <v>40410</v>
      </c>
      <c r="AJ125" s="108">
        <f t="shared" si="132"/>
        <v>33615</v>
      </c>
      <c r="AK125" s="63" t="s">
        <v>35</v>
      </c>
      <c r="AL125" s="63"/>
      <c r="AM125" s="63"/>
      <c r="AN125" s="63"/>
      <c r="AO125" s="63"/>
      <c r="AP125" s="63"/>
      <c r="AQ125" s="63"/>
    </row>
    <row r="126" spans="1:43" x14ac:dyDescent="0.25">
      <c r="A126" s="435"/>
      <c r="B126" s="117" t="s">
        <v>36</v>
      </c>
      <c r="C126" s="117">
        <f>+D125*$E$86</f>
        <v>1969.8000000000002</v>
      </c>
      <c r="D126" s="117">
        <f t="shared" ref="D126:G126" si="133">+E125*$E$86</f>
        <v>1891.4</v>
      </c>
      <c r="E126" s="117">
        <f t="shared" si="133"/>
        <v>1965.6000000000001</v>
      </c>
      <c r="F126" s="117">
        <f t="shared" si="133"/>
        <v>2255.4</v>
      </c>
      <c r="G126" s="117">
        <f t="shared" si="133"/>
        <v>1908.2</v>
      </c>
      <c r="H126" s="117">
        <v>0</v>
      </c>
      <c r="I126" s="117" t="s">
        <v>44</v>
      </c>
      <c r="J126" s="117"/>
      <c r="K126" s="117"/>
      <c r="L126" s="117"/>
      <c r="M126" s="117"/>
      <c r="N126" s="117"/>
      <c r="O126" s="388"/>
      <c r="P126" s="117" t="s">
        <v>36</v>
      </c>
      <c r="Q126" s="117">
        <f>+R125*$S$86</f>
        <v>353.20000000000005</v>
      </c>
      <c r="R126" s="117">
        <f t="shared" ref="R126:U126" si="134">+S125*$S$86</f>
        <v>347.6</v>
      </c>
      <c r="S126" s="117">
        <f t="shared" si="134"/>
        <v>349.6</v>
      </c>
      <c r="T126" s="117">
        <f t="shared" si="134"/>
        <v>364.40000000000003</v>
      </c>
      <c r="U126" s="117">
        <f t="shared" si="134"/>
        <v>316.8</v>
      </c>
      <c r="V126" s="117">
        <v>0</v>
      </c>
      <c r="W126" s="117" t="s">
        <v>44</v>
      </c>
      <c r="X126" s="117"/>
      <c r="Y126" s="434"/>
      <c r="Z126" s="63"/>
      <c r="AA126" s="63"/>
      <c r="AB126" s="63"/>
      <c r="AC126" s="63"/>
      <c r="AD126" s="63" t="s">
        <v>36</v>
      </c>
      <c r="AE126" s="63">
        <f>+AF125*$AG$86</f>
        <v>4338</v>
      </c>
      <c r="AF126" s="150">
        <f t="shared" ref="AF126:AI126" si="135">+AG125*$AG$86</f>
        <v>4198.5</v>
      </c>
      <c r="AG126" s="150">
        <f t="shared" si="135"/>
        <v>4279.5</v>
      </c>
      <c r="AH126" s="150">
        <f t="shared" si="135"/>
        <v>4041</v>
      </c>
      <c r="AI126" s="150">
        <f t="shared" si="135"/>
        <v>3361.5</v>
      </c>
      <c r="AJ126" s="63">
        <v>0</v>
      </c>
      <c r="AK126" s="63" t="s">
        <v>44</v>
      </c>
      <c r="AL126" s="63"/>
      <c r="AM126" s="63"/>
      <c r="AN126" s="63"/>
      <c r="AO126" s="63"/>
      <c r="AP126" s="63"/>
      <c r="AQ126" s="63"/>
    </row>
    <row r="127" spans="1:43" ht="15.75" thickBot="1" x14ac:dyDescent="0.3">
      <c r="A127" s="435"/>
      <c r="B127" s="117" t="s">
        <v>27</v>
      </c>
      <c r="C127" s="132">
        <f>+G92</f>
        <v>6</v>
      </c>
      <c r="D127" s="132">
        <f>+C126</f>
        <v>1969.8000000000002</v>
      </c>
      <c r="E127" s="132">
        <f t="shared" ref="E127:H127" si="136">+D126</f>
        <v>1891.4</v>
      </c>
      <c r="F127" s="132">
        <f t="shared" si="136"/>
        <v>1965.6000000000001</v>
      </c>
      <c r="G127" s="132">
        <f t="shared" si="136"/>
        <v>2255.4</v>
      </c>
      <c r="H127" s="132">
        <f t="shared" si="136"/>
        <v>1908.2</v>
      </c>
      <c r="I127" s="117" t="s">
        <v>34</v>
      </c>
      <c r="J127" s="117"/>
      <c r="K127" s="117"/>
      <c r="L127" s="117"/>
      <c r="M127" s="117"/>
      <c r="N127" s="117"/>
      <c r="O127" s="388"/>
      <c r="P127" s="117" t="s">
        <v>27</v>
      </c>
      <c r="Q127" s="132">
        <f>+U92</f>
        <v>4</v>
      </c>
      <c r="R127" s="132">
        <f>+Q126</f>
        <v>353.20000000000005</v>
      </c>
      <c r="S127" s="132">
        <f t="shared" ref="S127:V127" si="137">+R126</f>
        <v>347.6</v>
      </c>
      <c r="T127" s="132">
        <f t="shared" si="137"/>
        <v>349.6</v>
      </c>
      <c r="U127" s="132">
        <f t="shared" si="137"/>
        <v>364.40000000000003</v>
      </c>
      <c r="V127" s="132">
        <f t="shared" si="137"/>
        <v>316.8</v>
      </c>
      <c r="W127" s="117" t="s">
        <v>34</v>
      </c>
      <c r="X127" s="117"/>
      <c r="Y127" s="434"/>
      <c r="Z127" s="63"/>
      <c r="AA127" s="63"/>
      <c r="AB127" s="63"/>
      <c r="AC127" s="63"/>
      <c r="AD127" s="63" t="s">
        <v>27</v>
      </c>
      <c r="AE127" s="71">
        <f>+AI92</f>
        <v>0</v>
      </c>
      <c r="AF127" s="71">
        <f>+AE126</f>
        <v>4338</v>
      </c>
      <c r="AG127" s="132">
        <f t="shared" ref="AG127:AJ127" si="138">+AF126</f>
        <v>4198.5</v>
      </c>
      <c r="AH127" s="132">
        <f t="shared" si="138"/>
        <v>4279.5</v>
      </c>
      <c r="AI127" s="132">
        <f t="shared" si="138"/>
        <v>4041</v>
      </c>
      <c r="AJ127" s="132">
        <f t="shared" si="138"/>
        <v>3361.5</v>
      </c>
      <c r="AK127" s="63" t="s">
        <v>34</v>
      </c>
      <c r="AL127" s="63"/>
      <c r="AM127" s="63"/>
      <c r="AN127" s="63"/>
      <c r="AO127" s="63"/>
      <c r="AP127" s="63"/>
      <c r="AQ127" s="63"/>
    </row>
    <row r="128" spans="1:43" x14ac:dyDescent="0.25">
      <c r="A128" s="435"/>
      <c r="B128" s="117"/>
      <c r="C128" s="428">
        <f>+ROUNDUP(C125+C126-C127,0)</f>
        <v>24658</v>
      </c>
      <c r="D128" s="428">
        <f t="shared" ref="D128:G128" si="139">+ROUNDUP(D125+D126-D127,0)</f>
        <v>19620</v>
      </c>
      <c r="E128" s="428">
        <f t="shared" si="139"/>
        <v>18989</v>
      </c>
      <c r="F128" s="428">
        <f t="shared" si="139"/>
        <v>19946</v>
      </c>
      <c r="G128" s="428">
        <f t="shared" si="139"/>
        <v>22207</v>
      </c>
      <c r="H128" s="49">
        <v>0</v>
      </c>
      <c r="I128" s="117" t="s">
        <v>37</v>
      </c>
      <c r="J128" s="117"/>
      <c r="K128" s="117"/>
      <c r="L128" s="117"/>
      <c r="M128" s="117"/>
      <c r="N128" s="117"/>
      <c r="O128" s="388"/>
      <c r="P128" s="117"/>
      <c r="Q128" s="428">
        <f>++ROUNDUP(Q125+Q126-Q127,0)</f>
        <v>4730</v>
      </c>
      <c r="R128" s="428">
        <f t="shared" ref="R128:U128" si="140">++ROUNDUP(R125+R126-R127,0)</f>
        <v>3527</v>
      </c>
      <c r="S128" s="428">
        <f t="shared" si="140"/>
        <v>3478</v>
      </c>
      <c r="T128" s="428">
        <f t="shared" si="140"/>
        <v>3511</v>
      </c>
      <c r="U128" s="428">
        <f t="shared" si="140"/>
        <v>3597</v>
      </c>
      <c r="V128" s="49">
        <v>0</v>
      </c>
      <c r="W128" s="117" t="s">
        <v>37</v>
      </c>
      <c r="X128" s="117"/>
      <c r="Y128" s="434"/>
      <c r="Z128" s="63"/>
      <c r="AA128" s="63"/>
      <c r="AB128" s="63"/>
      <c r="AC128" s="63"/>
      <c r="AD128" s="63"/>
      <c r="AE128" s="92">
        <f>+ROUNDUP(AE125+AE126-AE127,0)</f>
        <v>55323</v>
      </c>
      <c r="AF128" s="92">
        <f t="shared" ref="AF128:AJ128" si="141">+ROUNDUP(AF125+AF126-AF127,0)</f>
        <v>43241</v>
      </c>
      <c r="AG128" s="92">
        <f t="shared" si="141"/>
        <v>42066</v>
      </c>
      <c r="AH128" s="92">
        <f t="shared" si="141"/>
        <v>42557</v>
      </c>
      <c r="AI128" s="92">
        <f t="shared" si="141"/>
        <v>39731</v>
      </c>
      <c r="AJ128" s="92">
        <f t="shared" si="141"/>
        <v>30254</v>
      </c>
      <c r="AK128" s="63" t="s">
        <v>37</v>
      </c>
      <c r="AL128" s="63"/>
      <c r="AM128" s="63"/>
      <c r="AN128" s="63"/>
      <c r="AO128" s="63"/>
      <c r="AP128" s="63"/>
      <c r="AQ128" s="63"/>
    </row>
    <row r="129" spans="1:50" ht="15.75" thickBot="1" x14ac:dyDescent="0.3">
      <c r="A129" s="435"/>
      <c r="B129" s="117"/>
      <c r="C129" s="77"/>
      <c r="D129" s="77"/>
      <c r="E129" s="77"/>
      <c r="F129" s="77"/>
      <c r="G129" s="83"/>
      <c r="H129" s="83"/>
      <c r="I129" s="117"/>
      <c r="J129" s="117"/>
      <c r="K129" s="117"/>
      <c r="L129" s="117"/>
      <c r="M129" s="117"/>
      <c r="N129" s="117"/>
      <c r="O129" s="388"/>
      <c r="P129" s="117"/>
      <c r="Q129" s="77"/>
      <c r="R129" s="77"/>
      <c r="S129" s="77"/>
      <c r="T129" s="77"/>
      <c r="U129" s="83"/>
      <c r="V129" s="83"/>
      <c r="W129" s="117"/>
      <c r="X129" s="117"/>
      <c r="Y129" s="434"/>
      <c r="Z129" s="63"/>
      <c r="AA129" s="63"/>
      <c r="AB129" s="63"/>
      <c r="AC129" s="63"/>
      <c r="AD129" s="63"/>
      <c r="AE129" s="77"/>
      <c r="AF129" s="77"/>
      <c r="AG129" s="77"/>
      <c r="AH129" s="77"/>
      <c r="AI129" s="83"/>
      <c r="AJ129" s="83"/>
      <c r="AK129" s="63"/>
      <c r="AL129" s="63"/>
      <c r="AM129" s="63"/>
      <c r="AN129" s="63"/>
      <c r="AO129" s="63"/>
      <c r="AP129" s="63"/>
      <c r="AQ129" s="63"/>
    </row>
    <row r="130" spans="1:50" x14ac:dyDescent="0.25">
      <c r="A130" s="435"/>
      <c r="B130" s="117"/>
      <c r="C130" s="444">
        <f>+C128*$F$92</f>
        <v>4931600</v>
      </c>
      <c r="D130" s="444">
        <f t="shared" ref="D130:H130" si="142">+D128*$F$92</f>
        <v>3924000</v>
      </c>
      <c r="E130" s="444">
        <f t="shared" si="142"/>
        <v>3797800</v>
      </c>
      <c r="F130" s="444">
        <f t="shared" si="142"/>
        <v>3989200</v>
      </c>
      <c r="G130" s="444">
        <f t="shared" si="142"/>
        <v>4441400</v>
      </c>
      <c r="H130" s="444">
        <f t="shared" si="142"/>
        <v>0</v>
      </c>
      <c r="I130" s="117" t="s">
        <v>39</v>
      </c>
      <c r="J130" s="117"/>
      <c r="K130" s="117"/>
      <c r="L130" s="117"/>
      <c r="M130" s="117"/>
      <c r="N130" s="117"/>
      <c r="O130" s="388"/>
      <c r="P130" s="117"/>
      <c r="Q130" s="506">
        <f>+Q128*$T$92</f>
        <v>1419000</v>
      </c>
      <c r="R130" s="506">
        <f t="shared" ref="R130:V130" si="143">+R128*$T$92</f>
        <v>1058100</v>
      </c>
      <c r="S130" s="506">
        <f t="shared" si="143"/>
        <v>1043400</v>
      </c>
      <c r="T130" s="506">
        <f t="shared" si="143"/>
        <v>1053300</v>
      </c>
      <c r="U130" s="506">
        <f t="shared" si="143"/>
        <v>1079100</v>
      </c>
      <c r="V130" s="506">
        <f t="shared" si="143"/>
        <v>0</v>
      </c>
      <c r="W130" s="117" t="s">
        <v>39</v>
      </c>
      <c r="X130" s="117"/>
      <c r="Y130" s="434"/>
      <c r="Z130" s="63"/>
      <c r="AA130" s="63"/>
      <c r="AB130" s="63"/>
      <c r="AC130" s="63"/>
      <c r="AD130" s="63"/>
      <c r="AE130" s="516">
        <f>+AE128*$AH$92</f>
        <v>4425840</v>
      </c>
      <c r="AF130" s="516">
        <f t="shared" ref="AF130:AI130" si="144">+AF128*$AH$92</f>
        <v>3459280</v>
      </c>
      <c r="AG130" s="516">
        <f t="shared" si="144"/>
        <v>3365280</v>
      </c>
      <c r="AH130" s="516">
        <f t="shared" si="144"/>
        <v>3404560</v>
      </c>
      <c r="AI130" s="516">
        <f t="shared" si="144"/>
        <v>3178480</v>
      </c>
      <c r="AJ130" s="516">
        <v>0</v>
      </c>
      <c r="AK130" s="63" t="s">
        <v>39</v>
      </c>
      <c r="AL130" s="63"/>
      <c r="AM130" s="63"/>
      <c r="AN130" s="63"/>
      <c r="AO130" s="63"/>
      <c r="AP130" s="63"/>
      <c r="AQ130" s="63"/>
    </row>
    <row r="131" spans="1:50" x14ac:dyDescent="0.25">
      <c r="A131" s="435"/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388"/>
      <c r="P131" s="117"/>
      <c r="Q131" s="117"/>
      <c r="R131" s="117"/>
      <c r="S131" s="117"/>
      <c r="T131" s="117"/>
      <c r="U131" s="117"/>
      <c r="V131" s="117"/>
      <c r="W131" s="117"/>
      <c r="X131" s="117"/>
      <c r="Y131" s="434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</row>
    <row r="132" spans="1:50" x14ac:dyDescent="0.25">
      <c r="A132" s="435"/>
      <c r="B132" s="497" t="s">
        <v>290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388"/>
      <c r="P132" s="146" t="s">
        <v>290</v>
      </c>
      <c r="Q132" s="117"/>
      <c r="R132" s="117"/>
      <c r="S132" s="117"/>
      <c r="T132" s="117"/>
      <c r="U132" s="117"/>
      <c r="V132" s="117"/>
      <c r="W132" s="117"/>
      <c r="X132" s="117"/>
      <c r="Y132" s="434"/>
      <c r="Z132" s="150"/>
      <c r="AA132" s="150"/>
      <c r="AB132" s="150"/>
      <c r="AC132" s="63"/>
      <c r="AD132" s="407" t="s">
        <v>295</v>
      </c>
      <c r="AE132" s="150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</row>
    <row r="133" spans="1:50" x14ac:dyDescent="0.25">
      <c r="A133" s="435"/>
      <c r="B133" s="117"/>
      <c r="C133" s="497" t="s">
        <v>18</v>
      </c>
      <c r="D133" s="497" t="s">
        <v>19</v>
      </c>
      <c r="E133" s="497" t="s">
        <v>20</v>
      </c>
      <c r="F133" s="497" t="s">
        <v>21</v>
      </c>
      <c r="G133" s="497" t="s">
        <v>57</v>
      </c>
      <c r="H133" s="497" t="s">
        <v>58</v>
      </c>
      <c r="I133" s="117"/>
      <c r="J133" s="117"/>
      <c r="K133" s="117"/>
      <c r="L133" s="117"/>
      <c r="M133" s="117"/>
      <c r="N133" s="117"/>
      <c r="O133" s="388"/>
      <c r="P133" s="117"/>
      <c r="Q133" s="146" t="s">
        <v>18</v>
      </c>
      <c r="R133" s="146" t="s">
        <v>19</v>
      </c>
      <c r="S133" s="146" t="s">
        <v>20</v>
      </c>
      <c r="T133" s="146" t="s">
        <v>21</v>
      </c>
      <c r="U133" s="146" t="s">
        <v>57</v>
      </c>
      <c r="V133" s="146" t="s">
        <v>58</v>
      </c>
      <c r="W133" s="117"/>
      <c r="X133" s="117"/>
      <c r="Y133" s="434"/>
      <c r="Z133" s="150"/>
      <c r="AA133" s="150"/>
      <c r="AB133" s="150"/>
      <c r="AC133" s="63"/>
      <c r="AD133" s="150"/>
      <c r="AE133" s="407" t="s">
        <v>18</v>
      </c>
      <c r="AF133" s="407" t="s">
        <v>19</v>
      </c>
      <c r="AG133" s="407" t="s">
        <v>20</v>
      </c>
      <c r="AH133" s="407" t="s">
        <v>21</v>
      </c>
      <c r="AI133" s="407" t="s">
        <v>57</v>
      </c>
      <c r="AJ133" s="407" t="s">
        <v>58</v>
      </c>
      <c r="AK133" s="150"/>
      <c r="AL133" s="150"/>
      <c r="AM133" s="150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</row>
    <row r="134" spans="1:50" x14ac:dyDescent="0.25">
      <c r="A134" s="435"/>
      <c r="B134" s="117" t="s">
        <v>36</v>
      </c>
      <c r="C134" s="502">
        <f>+C78*$E$93</f>
        <v>81050</v>
      </c>
      <c r="D134" s="445">
        <f t="shared" ref="D134:H134" si="145">+D78*$E$93</f>
        <v>70350</v>
      </c>
      <c r="E134" s="445">
        <f t="shared" si="145"/>
        <v>67550</v>
      </c>
      <c r="F134" s="445">
        <f t="shared" si="145"/>
        <v>70200</v>
      </c>
      <c r="G134" s="445">
        <f t="shared" si="145"/>
        <v>80550</v>
      </c>
      <c r="H134" s="445">
        <f t="shared" si="145"/>
        <v>68150</v>
      </c>
      <c r="I134" s="117" t="s">
        <v>35</v>
      </c>
      <c r="J134" s="117"/>
      <c r="K134" s="117"/>
      <c r="L134" s="117"/>
      <c r="M134" s="117"/>
      <c r="N134" s="117"/>
      <c r="O134" s="388"/>
      <c r="P134" s="117" t="s">
        <v>36</v>
      </c>
      <c r="Q134" s="445">
        <f>+Q78*$S$93</f>
        <v>32850</v>
      </c>
      <c r="R134" s="445">
        <f t="shared" ref="R134:V134" si="146">+R78*$S$93</f>
        <v>26490</v>
      </c>
      <c r="S134" s="445">
        <f t="shared" si="146"/>
        <v>26070</v>
      </c>
      <c r="T134" s="445">
        <f t="shared" si="146"/>
        <v>26220</v>
      </c>
      <c r="U134" s="445">
        <f t="shared" si="146"/>
        <v>27330</v>
      </c>
      <c r="V134" s="445">
        <f t="shared" si="146"/>
        <v>23760</v>
      </c>
      <c r="W134" s="117" t="s">
        <v>35</v>
      </c>
      <c r="X134" s="117"/>
      <c r="Y134" s="434"/>
      <c r="Z134" s="150"/>
      <c r="AA134" s="150"/>
      <c r="AB134" s="150"/>
      <c r="AC134" s="63"/>
      <c r="AD134" s="150" t="s">
        <v>36</v>
      </c>
      <c r="AE134" s="108">
        <f>+AE78*$AG$93</f>
        <v>0</v>
      </c>
      <c r="AF134" s="108">
        <f t="shared" ref="AF134:AJ134" si="147">+AF78*$AG$93</f>
        <v>0</v>
      </c>
      <c r="AG134" s="108">
        <f t="shared" si="147"/>
        <v>0</v>
      </c>
      <c r="AH134" s="108">
        <f t="shared" si="147"/>
        <v>0</v>
      </c>
      <c r="AI134" s="108">
        <f t="shared" si="147"/>
        <v>0</v>
      </c>
      <c r="AJ134" s="108">
        <f t="shared" si="147"/>
        <v>0</v>
      </c>
      <c r="AK134" s="150" t="s">
        <v>35</v>
      </c>
      <c r="AL134" s="150"/>
      <c r="AM134" s="150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</row>
    <row r="135" spans="1:50" x14ac:dyDescent="0.25">
      <c r="A135" s="435"/>
      <c r="B135" s="117" t="s">
        <v>36</v>
      </c>
      <c r="C135" s="117">
        <f>+D134*$AG$86</f>
        <v>7035</v>
      </c>
      <c r="D135" s="117">
        <f t="shared" ref="D135" si="148">+E134*$AG$86</f>
        <v>6755</v>
      </c>
      <c r="E135" s="117">
        <f t="shared" ref="E135" si="149">+F134*$AG$86</f>
        <v>7020</v>
      </c>
      <c r="F135" s="117">
        <f t="shared" ref="F135" si="150">+G134*$AG$86</f>
        <v>8055</v>
      </c>
      <c r="G135" s="117">
        <f t="shared" ref="G135" si="151">+H134*$AG$86</f>
        <v>6815</v>
      </c>
      <c r="H135" s="117">
        <v>0</v>
      </c>
      <c r="I135" s="117" t="s">
        <v>44</v>
      </c>
      <c r="J135" s="117"/>
      <c r="K135" s="117"/>
      <c r="L135" s="117"/>
      <c r="M135" s="117"/>
      <c r="N135" s="117"/>
      <c r="O135" s="388"/>
      <c r="P135" s="117" t="s">
        <v>36</v>
      </c>
      <c r="Q135" s="117">
        <f>+R134*$AG$86</f>
        <v>2649</v>
      </c>
      <c r="R135" s="117">
        <f t="shared" ref="R135" si="152">+S134*$AG$86</f>
        <v>2607</v>
      </c>
      <c r="S135" s="117">
        <f t="shared" ref="S135" si="153">+T134*$AG$86</f>
        <v>2622</v>
      </c>
      <c r="T135" s="117">
        <f t="shared" ref="T135" si="154">+U134*$AG$86</f>
        <v>2733</v>
      </c>
      <c r="U135" s="117">
        <f t="shared" ref="U135" si="155">+V134*$AG$86</f>
        <v>2376</v>
      </c>
      <c r="V135" s="117">
        <v>0</v>
      </c>
      <c r="W135" s="117" t="s">
        <v>44</v>
      </c>
      <c r="X135" s="117"/>
      <c r="Y135" s="434"/>
      <c r="Z135" s="150"/>
      <c r="AA135" s="150"/>
      <c r="AB135" s="150"/>
      <c r="AC135" s="63"/>
      <c r="AD135" s="150" t="s">
        <v>36</v>
      </c>
      <c r="AE135" s="150">
        <f>+AF134*$AG$86</f>
        <v>0</v>
      </c>
      <c r="AF135" s="150">
        <f t="shared" ref="AF135:AI135" si="156">+AG134*$AG$86</f>
        <v>0</v>
      </c>
      <c r="AG135" s="150">
        <f t="shared" si="156"/>
        <v>0</v>
      </c>
      <c r="AH135" s="150">
        <f t="shared" si="156"/>
        <v>0</v>
      </c>
      <c r="AI135" s="150">
        <f t="shared" si="156"/>
        <v>0</v>
      </c>
      <c r="AJ135" s="150">
        <v>0</v>
      </c>
      <c r="AK135" s="150" t="s">
        <v>44</v>
      </c>
      <c r="AL135" s="150"/>
      <c r="AM135" s="150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</row>
    <row r="136" spans="1:50" ht="15.75" thickBot="1" x14ac:dyDescent="0.3">
      <c r="A136" s="435"/>
      <c r="B136" s="117" t="s">
        <v>27</v>
      </c>
      <c r="C136" s="132">
        <f>+G93</f>
        <v>7</v>
      </c>
      <c r="D136" s="132">
        <f>+C135</f>
        <v>7035</v>
      </c>
      <c r="E136" s="132">
        <f t="shared" ref="E136" si="157">+D135</f>
        <v>6755</v>
      </c>
      <c r="F136" s="132">
        <f t="shared" ref="F136" si="158">+E135</f>
        <v>7020</v>
      </c>
      <c r="G136" s="132">
        <f t="shared" ref="G136" si="159">+F135</f>
        <v>8055</v>
      </c>
      <c r="H136" s="132">
        <f t="shared" ref="H136" si="160">+G135</f>
        <v>6815</v>
      </c>
      <c r="I136" s="117" t="s">
        <v>34</v>
      </c>
      <c r="J136" s="117"/>
      <c r="K136" s="117"/>
      <c r="L136" s="117"/>
      <c r="M136" s="117"/>
      <c r="N136" s="117"/>
      <c r="O136" s="388"/>
      <c r="P136" s="117" t="s">
        <v>27</v>
      </c>
      <c r="Q136" s="132">
        <f>+U93</f>
        <v>3</v>
      </c>
      <c r="R136" s="132">
        <f>+Q135</f>
        <v>2649</v>
      </c>
      <c r="S136" s="132">
        <f t="shared" ref="S136" si="161">+R135</f>
        <v>2607</v>
      </c>
      <c r="T136" s="132">
        <f t="shared" ref="T136" si="162">+S135</f>
        <v>2622</v>
      </c>
      <c r="U136" s="132">
        <f t="shared" ref="U136" si="163">+T135</f>
        <v>2733</v>
      </c>
      <c r="V136" s="132">
        <f t="shared" ref="V136" si="164">+U135</f>
        <v>2376</v>
      </c>
      <c r="W136" s="117" t="s">
        <v>34</v>
      </c>
      <c r="X136" s="117"/>
      <c r="Y136" s="434"/>
      <c r="Z136" s="150"/>
      <c r="AA136" s="150"/>
      <c r="AB136" s="150"/>
      <c r="AC136" s="63"/>
      <c r="AD136" s="150" t="s">
        <v>27</v>
      </c>
      <c r="AE136" s="132">
        <f>+AI93</f>
        <v>0</v>
      </c>
      <c r="AF136" s="132">
        <f>+AE135</f>
        <v>0</v>
      </c>
      <c r="AG136" s="132">
        <f t="shared" ref="AG136:AJ136" si="165">+AF135</f>
        <v>0</v>
      </c>
      <c r="AH136" s="132">
        <f t="shared" si="165"/>
        <v>0</v>
      </c>
      <c r="AI136" s="132">
        <f t="shared" si="165"/>
        <v>0</v>
      </c>
      <c r="AJ136" s="132">
        <f t="shared" si="165"/>
        <v>0</v>
      </c>
      <c r="AK136" s="150" t="s">
        <v>34</v>
      </c>
      <c r="AL136" s="150"/>
      <c r="AM136" s="150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</row>
    <row r="137" spans="1:50" ht="15.75" thickBot="1" x14ac:dyDescent="0.3">
      <c r="A137" s="437"/>
      <c r="B137" s="438"/>
      <c r="C137" s="446">
        <f>+C134+C135-C136</f>
        <v>88078</v>
      </c>
      <c r="D137" s="446">
        <f t="shared" ref="D137:G137" si="166">+D134+D135-D136</f>
        <v>70070</v>
      </c>
      <c r="E137" s="446">
        <f t="shared" si="166"/>
        <v>67815</v>
      </c>
      <c r="F137" s="446">
        <f t="shared" si="166"/>
        <v>71235</v>
      </c>
      <c r="G137" s="446">
        <f t="shared" si="166"/>
        <v>79310</v>
      </c>
      <c r="H137" s="447">
        <v>0</v>
      </c>
      <c r="I137" s="438" t="s">
        <v>37</v>
      </c>
      <c r="J137" s="438"/>
      <c r="K137" s="438"/>
      <c r="L137" s="438"/>
      <c r="M137" s="438"/>
      <c r="N137" s="438"/>
      <c r="O137" s="439"/>
      <c r="P137" s="438"/>
      <c r="Q137" s="446">
        <f>+Q134+Q135-Q136</f>
        <v>35496</v>
      </c>
      <c r="R137" s="446">
        <f t="shared" ref="R137:U137" si="167">+R134+R135-R136</f>
        <v>26448</v>
      </c>
      <c r="S137" s="446">
        <f t="shared" si="167"/>
        <v>26085</v>
      </c>
      <c r="T137" s="446">
        <f t="shared" si="167"/>
        <v>26331</v>
      </c>
      <c r="U137" s="446">
        <f t="shared" si="167"/>
        <v>26973</v>
      </c>
      <c r="V137" s="447">
        <v>0</v>
      </c>
      <c r="W137" s="438" t="s">
        <v>37</v>
      </c>
      <c r="X137" s="438"/>
      <c r="Y137" s="440"/>
      <c r="Z137" s="150"/>
      <c r="AA137" s="150"/>
      <c r="AB137" s="150"/>
      <c r="AC137" s="63"/>
      <c r="AD137" s="150"/>
      <c r="AE137" s="92">
        <f>+AE134+AE135-AE136</f>
        <v>0</v>
      </c>
      <c r="AF137" s="92">
        <f t="shared" ref="AF137:AI137" si="168">+AF134+AF135-AF136</f>
        <v>0</v>
      </c>
      <c r="AG137" s="92">
        <f t="shared" si="168"/>
        <v>0</v>
      </c>
      <c r="AH137" s="92">
        <f t="shared" si="168"/>
        <v>0</v>
      </c>
      <c r="AI137" s="92">
        <f t="shared" si="168"/>
        <v>0</v>
      </c>
      <c r="AJ137" s="116">
        <v>0</v>
      </c>
      <c r="AK137" s="150" t="s">
        <v>37</v>
      </c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</row>
    <row r="138" spans="1:50" ht="15.75" thickBot="1" x14ac:dyDescent="0.3">
      <c r="B138" s="150"/>
      <c r="C138" s="77"/>
      <c r="D138" s="77"/>
      <c r="E138" s="77"/>
      <c r="F138" s="77"/>
      <c r="G138" s="83"/>
      <c r="H138" s="83"/>
      <c r="I138" s="150"/>
      <c r="J138" s="150"/>
      <c r="K138" s="150"/>
      <c r="L138" s="150"/>
      <c r="M138" s="150"/>
      <c r="N138" s="150"/>
      <c r="O138" s="388"/>
      <c r="P138" s="150"/>
      <c r="Q138" s="77"/>
      <c r="R138" s="77"/>
      <c r="S138" s="77"/>
      <c r="T138" s="77"/>
      <c r="U138" s="83"/>
      <c r="V138" s="83"/>
      <c r="W138" s="150"/>
      <c r="X138" s="150"/>
      <c r="Y138" s="150"/>
      <c r="Z138" s="150"/>
      <c r="AA138" s="150"/>
      <c r="AB138" s="150"/>
      <c r="AC138" s="63"/>
      <c r="AD138" s="150"/>
      <c r="AE138" s="77"/>
      <c r="AF138" s="77"/>
      <c r="AG138" s="77"/>
      <c r="AH138" s="77"/>
      <c r="AI138" s="83"/>
      <c r="AJ138" s="83"/>
      <c r="AK138" s="150"/>
      <c r="AL138" s="150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</row>
    <row r="139" spans="1:50" x14ac:dyDescent="0.25">
      <c r="B139" s="150"/>
      <c r="C139" s="499">
        <f>+C137*$F$93</f>
        <v>7046240</v>
      </c>
      <c r="D139" s="499">
        <f t="shared" ref="D139:H139" si="169">+D137*$F$93</f>
        <v>5605600</v>
      </c>
      <c r="E139" s="499">
        <f t="shared" si="169"/>
        <v>5425200</v>
      </c>
      <c r="F139" s="499">
        <f t="shared" si="169"/>
        <v>5698800</v>
      </c>
      <c r="G139" s="499">
        <f t="shared" si="169"/>
        <v>6344800</v>
      </c>
      <c r="H139" s="499">
        <f t="shared" si="169"/>
        <v>0</v>
      </c>
      <c r="I139" s="150" t="s">
        <v>39</v>
      </c>
      <c r="J139" s="150"/>
      <c r="K139" s="150"/>
      <c r="L139" s="150"/>
      <c r="M139" s="150"/>
      <c r="N139" s="150"/>
      <c r="O139" s="388"/>
      <c r="P139" s="150"/>
      <c r="Q139" s="507">
        <f>+Q137*$T$93</f>
        <v>2839680</v>
      </c>
      <c r="R139" s="507">
        <f t="shared" ref="R139:V139" si="170">+R137*$T$93</f>
        <v>2115840</v>
      </c>
      <c r="S139" s="507">
        <f t="shared" si="170"/>
        <v>2086800</v>
      </c>
      <c r="T139" s="507">
        <f t="shared" si="170"/>
        <v>2106480</v>
      </c>
      <c r="U139" s="507">
        <f t="shared" si="170"/>
        <v>2157840</v>
      </c>
      <c r="V139" s="507">
        <f t="shared" si="170"/>
        <v>0</v>
      </c>
      <c r="W139" s="150" t="s">
        <v>39</v>
      </c>
      <c r="X139" s="150"/>
      <c r="Y139" s="150"/>
      <c r="Z139" s="150"/>
      <c r="AA139" s="150"/>
      <c r="AB139" s="150"/>
      <c r="AC139" s="63"/>
      <c r="AD139" s="150"/>
      <c r="AE139" s="516">
        <f>+AE137*$AH$93</f>
        <v>0</v>
      </c>
      <c r="AF139" s="516">
        <f t="shared" ref="AF139:AJ139" si="171">+AF137*$AH$93</f>
        <v>0</v>
      </c>
      <c r="AG139" s="516">
        <f t="shared" si="171"/>
        <v>0</v>
      </c>
      <c r="AH139" s="516">
        <f t="shared" si="171"/>
        <v>0</v>
      </c>
      <c r="AI139" s="516">
        <f t="shared" si="171"/>
        <v>0</v>
      </c>
      <c r="AJ139" s="516">
        <f t="shared" si="171"/>
        <v>0</v>
      </c>
      <c r="AK139" s="150" t="s">
        <v>39</v>
      </c>
      <c r="AL139" s="150"/>
      <c r="AM139" s="150"/>
      <c r="AN139" s="150"/>
      <c r="AO139" s="150"/>
      <c r="AP139" s="150"/>
      <c r="AQ139" s="150"/>
      <c r="AR139" s="150"/>
      <c r="AS139" s="150"/>
      <c r="AT139" s="150"/>
    </row>
    <row r="140" spans="1:50" x14ac:dyDescent="0.25">
      <c r="O140" s="388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</row>
    <row r="141" spans="1:50" x14ac:dyDescent="0.25">
      <c r="B141" s="500" t="s">
        <v>45</v>
      </c>
      <c r="C141" s="474" t="s">
        <v>18</v>
      </c>
      <c r="D141" s="474" t="s">
        <v>19</v>
      </c>
      <c r="E141" s="474" t="s">
        <v>20</v>
      </c>
      <c r="F141" s="474" t="s">
        <v>21</v>
      </c>
      <c r="G141" s="474" t="s">
        <v>57</v>
      </c>
      <c r="H141" s="474" t="s">
        <v>58</v>
      </c>
      <c r="I141" s="60"/>
      <c r="J141" s="474" t="s">
        <v>47</v>
      </c>
      <c r="K141" s="501" t="s">
        <v>48</v>
      </c>
      <c r="L141" s="501"/>
      <c r="O141" s="388"/>
      <c r="P141" s="120" t="s">
        <v>45</v>
      </c>
      <c r="Q141" s="142" t="s">
        <v>18</v>
      </c>
      <c r="R141" s="142" t="s">
        <v>19</v>
      </c>
      <c r="S141" s="142" t="s">
        <v>20</v>
      </c>
      <c r="T141" s="142" t="s">
        <v>21</v>
      </c>
      <c r="U141" s="142" t="s">
        <v>57</v>
      </c>
      <c r="V141" s="142" t="s">
        <v>58</v>
      </c>
      <c r="W141" s="87"/>
      <c r="X141" s="142" t="s">
        <v>47</v>
      </c>
      <c r="Y141" s="473" t="s">
        <v>48</v>
      </c>
      <c r="Z141" s="473"/>
      <c r="AA141" s="63"/>
      <c r="AB141" s="63"/>
      <c r="AC141" s="63"/>
      <c r="AD141" s="513" t="s">
        <v>45</v>
      </c>
      <c r="AE141" s="407" t="s">
        <v>18</v>
      </c>
      <c r="AF141" s="407" t="s">
        <v>19</v>
      </c>
      <c r="AG141" s="407" t="s">
        <v>20</v>
      </c>
      <c r="AH141" s="407" t="s">
        <v>21</v>
      </c>
      <c r="AI141" s="407" t="s">
        <v>57</v>
      </c>
      <c r="AJ141" s="407" t="s">
        <v>58</v>
      </c>
      <c r="AK141" s="87"/>
      <c r="AL141" s="407" t="s">
        <v>47</v>
      </c>
      <c r="AM141" s="517" t="s">
        <v>48</v>
      </c>
      <c r="AN141" s="517"/>
      <c r="AO141" s="63"/>
      <c r="AP141" s="63"/>
      <c r="AQ141" s="63"/>
    </row>
    <row r="142" spans="1:50" x14ac:dyDescent="0.25">
      <c r="B142" s="474" t="s">
        <v>206</v>
      </c>
      <c r="C142" s="58">
        <f t="shared" ref="C142:H142" si="172">+C103</f>
        <v>22964085</v>
      </c>
      <c r="D142" s="61">
        <f t="shared" si="172"/>
        <v>18288270</v>
      </c>
      <c r="E142" s="61">
        <f t="shared" si="172"/>
        <v>17699715</v>
      </c>
      <c r="F142" s="61">
        <f t="shared" si="172"/>
        <v>18592335</v>
      </c>
      <c r="G142" s="61">
        <f t="shared" si="172"/>
        <v>20699909.999999996</v>
      </c>
      <c r="H142" s="61">
        <f t="shared" si="172"/>
        <v>0</v>
      </c>
      <c r="I142" s="58"/>
      <c r="J142" s="57" t="s">
        <v>206</v>
      </c>
      <c r="K142" s="57"/>
      <c r="L142" s="59">
        <v>0.6</v>
      </c>
      <c r="O142" s="388"/>
      <c r="P142" s="142" t="s">
        <v>291</v>
      </c>
      <c r="Q142" s="79">
        <f t="shared" ref="Q142:V142" si="173">+Q103</f>
        <v>29202810</v>
      </c>
      <c r="R142" s="79">
        <f t="shared" si="173"/>
        <v>21775519.999999996</v>
      </c>
      <c r="S142" s="79">
        <f t="shared" si="173"/>
        <v>21476650</v>
      </c>
      <c r="T142" s="79">
        <f t="shared" si="173"/>
        <v>21679190</v>
      </c>
      <c r="U142" s="79">
        <f t="shared" si="173"/>
        <v>22207770</v>
      </c>
      <c r="V142" s="79">
        <f t="shared" si="173"/>
        <v>0</v>
      </c>
      <c r="W142" s="79"/>
      <c r="X142" s="63" t="s">
        <v>291</v>
      </c>
      <c r="Y142" s="63"/>
      <c r="Z142" s="82">
        <v>0.7</v>
      </c>
      <c r="AA142" s="63"/>
      <c r="AB142" s="63"/>
      <c r="AC142" s="63"/>
      <c r="AD142" s="407" t="s">
        <v>291</v>
      </c>
      <c r="AE142" s="79">
        <f t="shared" ref="AE142:AJ142" si="174">+AE103</f>
        <v>34161952.5</v>
      </c>
      <c r="AF142" s="79">
        <f t="shared" si="174"/>
        <v>26701008.75</v>
      </c>
      <c r="AG142" s="79">
        <f t="shared" si="174"/>
        <v>25975754.999999996</v>
      </c>
      <c r="AH142" s="79">
        <f t="shared" si="174"/>
        <v>26278638.750000004</v>
      </c>
      <c r="AI142" s="79">
        <f t="shared" si="174"/>
        <v>24533583.75</v>
      </c>
      <c r="AJ142" s="79">
        <f t="shared" si="174"/>
        <v>0</v>
      </c>
      <c r="AK142" s="79"/>
      <c r="AL142" s="63" t="s">
        <v>291</v>
      </c>
      <c r="AM142" s="63"/>
      <c r="AN142" s="82">
        <v>0.7</v>
      </c>
      <c r="AO142" s="63"/>
      <c r="AP142" s="63"/>
      <c r="AQ142" s="63"/>
    </row>
    <row r="143" spans="1:50" x14ac:dyDescent="0.25">
      <c r="B143" s="474" t="s">
        <v>287</v>
      </c>
      <c r="C143" s="58">
        <f>+C112</f>
        <v>1936000</v>
      </c>
      <c r="D143" s="61">
        <f t="shared" ref="D143:H143" si="175">+D112</f>
        <v>1541650</v>
      </c>
      <c r="E143" s="61">
        <f t="shared" si="175"/>
        <v>1492150</v>
      </c>
      <c r="F143" s="61">
        <f t="shared" si="175"/>
        <v>1567500</v>
      </c>
      <c r="G143" s="61">
        <f t="shared" si="175"/>
        <v>1745150</v>
      </c>
      <c r="H143" s="61">
        <f t="shared" si="175"/>
        <v>0</v>
      </c>
      <c r="I143" s="57"/>
      <c r="J143" s="57" t="s">
        <v>287</v>
      </c>
      <c r="K143" s="57"/>
      <c r="L143" s="59">
        <v>0.6</v>
      </c>
      <c r="O143" s="388"/>
      <c r="P143" s="142" t="s">
        <v>292</v>
      </c>
      <c r="Q143" s="79">
        <f t="shared" ref="Q143:V143" si="176">+Q112</f>
        <v>1062900</v>
      </c>
      <c r="R143" s="79">
        <f t="shared" si="176"/>
        <v>793800</v>
      </c>
      <c r="S143" s="79">
        <f t="shared" si="176"/>
        <v>783000</v>
      </c>
      <c r="T143" s="79">
        <f t="shared" si="176"/>
        <v>790200</v>
      </c>
      <c r="U143" s="79">
        <f t="shared" si="176"/>
        <v>810000</v>
      </c>
      <c r="V143" s="79">
        <f t="shared" si="176"/>
        <v>0</v>
      </c>
      <c r="W143" s="63"/>
      <c r="X143" s="63" t="s">
        <v>292</v>
      </c>
      <c r="Y143" s="63"/>
      <c r="Z143" s="82">
        <v>0.6</v>
      </c>
      <c r="AA143" s="63"/>
      <c r="AB143" s="63"/>
      <c r="AC143" s="63"/>
      <c r="AD143" s="407" t="s">
        <v>205</v>
      </c>
      <c r="AE143" s="79">
        <f t="shared" ref="AE143:AJ143" si="177">+AE112</f>
        <v>5655240</v>
      </c>
      <c r="AF143" s="79">
        <f t="shared" si="177"/>
        <v>4420140</v>
      </c>
      <c r="AG143" s="79">
        <f t="shared" si="177"/>
        <v>4300080</v>
      </c>
      <c r="AH143" s="79">
        <f t="shared" si="177"/>
        <v>4350220</v>
      </c>
      <c r="AI143" s="79">
        <f t="shared" si="177"/>
        <v>4061340.0000000005</v>
      </c>
      <c r="AJ143" s="79">
        <f t="shared" si="177"/>
        <v>0</v>
      </c>
      <c r="AK143" s="63"/>
      <c r="AL143" s="63" t="s">
        <v>205</v>
      </c>
      <c r="AM143" s="63"/>
      <c r="AN143" s="82">
        <v>0.5</v>
      </c>
      <c r="AO143" s="63"/>
      <c r="AP143" s="63"/>
      <c r="AQ143" s="63"/>
    </row>
    <row r="144" spans="1:50" x14ac:dyDescent="0.25">
      <c r="B144" s="474" t="s">
        <v>288</v>
      </c>
      <c r="C144" s="58">
        <f t="shared" ref="C144:H144" si="178">+C121</f>
        <v>1317750</v>
      </c>
      <c r="D144" s="61">
        <f t="shared" si="178"/>
        <v>1051500</v>
      </c>
      <c r="E144" s="61">
        <f t="shared" si="178"/>
        <v>1017750</v>
      </c>
      <c r="F144" s="61">
        <f t="shared" si="178"/>
        <v>1068750</v>
      </c>
      <c r="G144" s="61">
        <f t="shared" si="178"/>
        <v>1190250</v>
      </c>
      <c r="H144" s="61">
        <f t="shared" si="178"/>
        <v>0</v>
      </c>
      <c r="I144" s="57"/>
      <c r="J144" s="57" t="s">
        <v>288</v>
      </c>
      <c r="K144" s="57"/>
      <c r="L144" s="59">
        <v>0.2</v>
      </c>
      <c r="O144" s="388"/>
      <c r="P144" s="142" t="s">
        <v>293</v>
      </c>
      <c r="Q144" s="79">
        <f t="shared" ref="Q144:V144" si="179">+Q121</f>
        <v>1774500</v>
      </c>
      <c r="R144" s="79">
        <f t="shared" si="179"/>
        <v>1323000</v>
      </c>
      <c r="S144" s="79">
        <f t="shared" si="179"/>
        <v>1304250</v>
      </c>
      <c r="T144" s="79">
        <f t="shared" si="179"/>
        <v>1317000</v>
      </c>
      <c r="U144" s="79">
        <f t="shared" si="179"/>
        <v>1349250</v>
      </c>
      <c r="V144" s="79">
        <f t="shared" si="179"/>
        <v>1069500</v>
      </c>
      <c r="W144" s="63"/>
      <c r="X144" s="63" t="s">
        <v>293</v>
      </c>
      <c r="Y144" s="63"/>
      <c r="Z144" s="82">
        <v>0.6</v>
      </c>
      <c r="AA144" s="63"/>
      <c r="AB144" s="63"/>
      <c r="AC144" s="63"/>
      <c r="AD144" s="407" t="s">
        <v>289</v>
      </c>
      <c r="AE144" s="79">
        <f t="shared" ref="AE144:AJ144" si="180">+AE121</f>
        <v>1967200</v>
      </c>
      <c r="AF144" s="79">
        <f t="shared" si="180"/>
        <v>1537600</v>
      </c>
      <c r="AG144" s="79">
        <f t="shared" si="180"/>
        <v>1495800</v>
      </c>
      <c r="AH144" s="79">
        <f t="shared" si="180"/>
        <v>1513200</v>
      </c>
      <c r="AI144" s="79">
        <f t="shared" si="180"/>
        <v>1412800</v>
      </c>
      <c r="AJ144" s="79">
        <f t="shared" si="180"/>
        <v>0</v>
      </c>
      <c r="AK144" s="63"/>
      <c r="AL144" s="63" t="s">
        <v>289</v>
      </c>
      <c r="AM144" s="63"/>
      <c r="AN144" s="82">
        <v>0.7</v>
      </c>
      <c r="AO144" s="63"/>
      <c r="AP144" s="63"/>
      <c r="AQ144" s="63"/>
    </row>
    <row r="145" spans="2:47" x14ac:dyDescent="0.25">
      <c r="B145" s="474" t="s">
        <v>289</v>
      </c>
      <c r="C145" s="58">
        <f t="shared" ref="C145:H145" si="181">+C130</f>
        <v>4931600</v>
      </c>
      <c r="D145" s="61">
        <f t="shared" si="181"/>
        <v>3924000</v>
      </c>
      <c r="E145" s="61">
        <f t="shared" si="181"/>
        <v>3797800</v>
      </c>
      <c r="F145" s="61">
        <f t="shared" si="181"/>
        <v>3989200</v>
      </c>
      <c r="G145" s="61">
        <f t="shared" si="181"/>
        <v>4441400</v>
      </c>
      <c r="H145" s="61">
        <f t="shared" si="181"/>
        <v>0</v>
      </c>
      <c r="I145" s="57"/>
      <c r="J145" s="57" t="s">
        <v>289</v>
      </c>
      <c r="K145" s="57"/>
      <c r="L145" s="59">
        <v>0.6</v>
      </c>
      <c r="O145" s="388"/>
      <c r="P145" s="142" t="s">
        <v>294</v>
      </c>
      <c r="Q145" s="79">
        <f t="shared" ref="Q145:V145" si="182">+Q130</f>
        <v>1419000</v>
      </c>
      <c r="R145" s="79">
        <f t="shared" si="182"/>
        <v>1058100</v>
      </c>
      <c r="S145" s="79">
        <f t="shared" si="182"/>
        <v>1043400</v>
      </c>
      <c r="T145" s="79">
        <f t="shared" si="182"/>
        <v>1053300</v>
      </c>
      <c r="U145" s="79">
        <f t="shared" si="182"/>
        <v>1079100</v>
      </c>
      <c r="V145" s="79">
        <f t="shared" si="182"/>
        <v>0</v>
      </c>
      <c r="W145" s="63"/>
      <c r="X145" s="63" t="s">
        <v>294</v>
      </c>
      <c r="Y145" s="63"/>
      <c r="Z145" s="82">
        <v>0.5</v>
      </c>
      <c r="AA145" s="63"/>
      <c r="AB145" s="63"/>
      <c r="AC145" s="63"/>
      <c r="AD145" s="407" t="s">
        <v>290</v>
      </c>
      <c r="AE145" s="79">
        <f t="shared" ref="AE145:AJ145" si="183">+AE130</f>
        <v>4425840</v>
      </c>
      <c r="AF145" s="79">
        <f t="shared" si="183"/>
        <v>3459280</v>
      </c>
      <c r="AG145" s="79">
        <f t="shared" si="183"/>
        <v>3365280</v>
      </c>
      <c r="AH145" s="79">
        <f t="shared" si="183"/>
        <v>3404560</v>
      </c>
      <c r="AI145" s="79">
        <f t="shared" si="183"/>
        <v>3178480</v>
      </c>
      <c r="AJ145" s="79">
        <f t="shared" si="183"/>
        <v>0</v>
      </c>
      <c r="AK145" s="63"/>
      <c r="AL145" s="63" t="s">
        <v>290</v>
      </c>
      <c r="AM145" s="63"/>
      <c r="AN145" s="82">
        <v>0.6</v>
      </c>
      <c r="AO145" s="63"/>
      <c r="AP145" s="63"/>
      <c r="AQ145" s="63"/>
    </row>
    <row r="146" spans="2:47" x14ac:dyDescent="0.25">
      <c r="B146" s="474" t="s">
        <v>290</v>
      </c>
      <c r="C146" s="152">
        <f>+C139</f>
        <v>7046240</v>
      </c>
      <c r="D146" s="152">
        <f t="shared" ref="D146:G146" si="184">+D139</f>
        <v>5605600</v>
      </c>
      <c r="E146" s="152">
        <f t="shared" si="184"/>
        <v>5425200</v>
      </c>
      <c r="F146" s="152">
        <f t="shared" si="184"/>
        <v>5698800</v>
      </c>
      <c r="G146" s="152">
        <f t="shared" si="184"/>
        <v>6344800</v>
      </c>
      <c r="H146" s="152"/>
      <c r="I146" s="150"/>
      <c r="J146" s="150" t="s">
        <v>290</v>
      </c>
      <c r="K146" s="150"/>
      <c r="L146" s="82">
        <v>0.5</v>
      </c>
      <c r="M146" s="150"/>
      <c r="N146" s="150"/>
      <c r="O146" s="388"/>
      <c r="P146" s="142" t="s">
        <v>290</v>
      </c>
      <c r="Q146" s="152">
        <f>+Q139</f>
        <v>2839680</v>
      </c>
      <c r="R146" s="152">
        <f t="shared" ref="R146:U146" si="185">+R139</f>
        <v>2115840</v>
      </c>
      <c r="S146" s="152">
        <f t="shared" si="185"/>
        <v>2086800</v>
      </c>
      <c r="T146" s="152">
        <f t="shared" si="185"/>
        <v>2106480</v>
      </c>
      <c r="U146" s="152">
        <f t="shared" si="185"/>
        <v>2157840</v>
      </c>
      <c r="V146" s="152"/>
      <c r="W146" s="150"/>
      <c r="X146" s="150" t="s">
        <v>290</v>
      </c>
      <c r="Y146" s="150"/>
      <c r="Z146" s="82">
        <v>0.6</v>
      </c>
      <c r="AA146" s="150"/>
      <c r="AB146" s="150"/>
      <c r="AC146" s="63"/>
      <c r="AD146" s="407"/>
      <c r="AE146" s="152">
        <f>+AE139</f>
        <v>0</v>
      </c>
      <c r="AF146" s="152">
        <f t="shared" ref="AF146:AJ146" si="186">+AF139</f>
        <v>0</v>
      </c>
      <c r="AG146" s="152">
        <f t="shared" si="186"/>
        <v>0</v>
      </c>
      <c r="AH146" s="152">
        <f t="shared" si="186"/>
        <v>0</v>
      </c>
      <c r="AI146" s="152">
        <f t="shared" si="186"/>
        <v>0</v>
      </c>
      <c r="AJ146" s="152">
        <f t="shared" si="186"/>
        <v>0</v>
      </c>
      <c r="AK146" s="150"/>
      <c r="AL146" s="150"/>
      <c r="AM146" s="150"/>
      <c r="AN146" s="82"/>
      <c r="AO146" s="150"/>
      <c r="AP146" s="150"/>
      <c r="AQ146" s="150"/>
      <c r="AR146" s="150"/>
      <c r="AS146" s="150"/>
      <c r="AT146" s="150"/>
      <c r="AU146" s="150"/>
    </row>
    <row r="147" spans="2:47" x14ac:dyDescent="0.25">
      <c r="O147" s="388"/>
      <c r="P147" s="142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407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</row>
    <row r="148" spans="2:47" x14ac:dyDescent="0.25">
      <c r="B148" s="500" t="s">
        <v>46</v>
      </c>
      <c r="C148" s="61">
        <f t="shared" ref="C148:H148" si="187">SUM(C142:C147)</f>
        <v>38195675</v>
      </c>
      <c r="D148" s="61">
        <f t="shared" si="187"/>
        <v>30411020</v>
      </c>
      <c r="E148" s="61">
        <f t="shared" si="187"/>
        <v>29432615</v>
      </c>
      <c r="F148" s="61">
        <f t="shared" si="187"/>
        <v>30916585</v>
      </c>
      <c r="G148" s="61">
        <f t="shared" si="187"/>
        <v>34421510</v>
      </c>
      <c r="H148" s="61">
        <f t="shared" si="187"/>
        <v>0</v>
      </c>
      <c r="O148" s="388"/>
      <c r="P148" s="120" t="s">
        <v>46</v>
      </c>
      <c r="Q148" s="79">
        <f t="shared" ref="Q148:V148" si="188">SUM(Q142:Q147)</f>
        <v>36298890</v>
      </c>
      <c r="R148" s="79">
        <f t="shared" si="188"/>
        <v>27066259.999999996</v>
      </c>
      <c r="S148" s="79">
        <f t="shared" si="188"/>
        <v>26694100</v>
      </c>
      <c r="T148" s="79">
        <f t="shared" si="188"/>
        <v>26946170</v>
      </c>
      <c r="U148" s="79">
        <f t="shared" si="188"/>
        <v>27603960</v>
      </c>
      <c r="V148" s="79">
        <f t="shared" si="188"/>
        <v>1069500</v>
      </c>
      <c r="W148" s="63"/>
      <c r="X148" s="63"/>
      <c r="Y148" s="63"/>
      <c r="Z148" s="63"/>
      <c r="AA148" s="63"/>
      <c r="AB148" s="63"/>
      <c r="AC148" s="63"/>
      <c r="AD148" s="513" t="s">
        <v>46</v>
      </c>
      <c r="AE148" s="79">
        <f t="shared" ref="AE148:AJ148" si="189">SUM(AE142:AE147)</f>
        <v>46210232.5</v>
      </c>
      <c r="AF148" s="79">
        <f t="shared" si="189"/>
        <v>36118028.75</v>
      </c>
      <c r="AG148" s="79">
        <f t="shared" si="189"/>
        <v>35136915</v>
      </c>
      <c r="AH148" s="79">
        <f t="shared" si="189"/>
        <v>35546618.75</v>
      </c>
      <c r="AI148" s="79">
        <f t="shared" si="189"/>
        <v>33186203.75</v>
      </c>
      <c r="AJ148" s="79">
        <f t="shared" si="189"/>
        <v>0</v>
      </c>
      <c r="AK148" s="63"/>
      <c r="AL148" s="63"/>
      <c r="AM148" s="63"/>
      <c r="AN148" s="63"/>
      <c r="AO148" s="63"/>
      <c r="AP148" s="63"/>
      <c r="AQ148" s="63"/>
    </row>
    <row r="149" spans="2:47" x14ac:dyDescent="0.25">
      <c r="O149" s="388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</row>
    <row r="150" spans="2:47" x14ac:dyDescent="0.25">
      <c r="O150" s="388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</row>
    <row r="151" spans="2:47" x14ac:dyDescent="0.25">
      <c r="B151" s="89"/>
      <c r="O151" s="388"/>
      <c r="P151" s="89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D151" s="89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</row>
    <row r="152" spans="2:47" x14ac:dyDescent="0.25">
      <c r="B152" s="63"/>
      <c r="C152" s="89" t="s">
        <v>40</v>
      </c>
      <c r="D152" s="63"/>
      <c r="E152" s="63"/>
      <c r="F152" s="63"/>
      <c r="G152" s="141"/>
      <c r="O152" s="388"/>
      <c r="P152" s="63"/>
      <c r="Q152" s="89" t="s">
        <v>40</v>
      </c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D152" s="63"/>
      <c r="AE152" s="89" t="s">
        <v>40</v>
      </c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</row>
    <row r="153" spans="2:47" x14ac:dyDescent="0.25">
      <c r="B153" s="500" t="s">
        <v>60</v>
      </c>
      <c r="C153" s="474" t="s">
        <v>18</v>
      </c>
      <c r="D153" s="474" t="s">
        <v>19</v>
      </c>
      <c r="E153" s="474" t="s">
        <v>20</v>
      </c>
      <c r="F153" s="474" t="s">
        <v>21</v>
      </c>
      <c r="G153" s="474" t="s">
        <v>194</v>
      </c>
      <c r="O153" s="388"/>
      <c r="P153" s="120" t="s">
        <v>60</v>
      </c>
      <c r="Q153" s="142" t="s">
        <v>18</v>
      </c>
      <c r="R153" s="142" t="s">
        <v>19</v>
      </c>
      <c r="S153" s="142" t="s">
        <v>20</v>
      </c>
      <c r="T153" s="142" t="s">
        <v>21</v>
      </c>
      <c r="U153" s="142" t="s">
        <v>194</v>
      </c>
      <c r="V153" s="63"/>
      <c r="W153" s="63"/>
      <c r="X153" s="63"/>
      <c r="Y153" s="63"/>
      <c r="Z153" s="63"/>
      <c r="AA153" s="63"/>
      <c r="AB153" s="63"/>
      <c r="AD153" s="513" t="s">
        <v>60</v>
      </c>
      <c r="AE153" s="407" t="s">
        <v>18</v>
      </c>
      <c r="AF153" s="407" t="s">
        <v>19</v>
      </c>
      <c r="AG153" s="407" t="s">
        <v>20</v>
      </c>
      <c r="AH153" s="407" t="s">
        <v>21</v>
      </c>
      <c r="AI153" s="407" t="s">
        <v>194</v>
      </c>
      <c r="AJ153" s="63"/>
      <c r="AK153" s="63"/>
      <c r="AL153" s="63"/>
      <c r="AM153" s="63"/>
      <c r="AN153" s="63"/>
      <c r="AO153" s="63"/>
      <c r="AP153" s="63"/>
      <c r="AQ153" s="63"/>
    </row>
    <row r="154" spans="2:47" x14ac:dyDescent="0.25">
      <c r="B154" s="474" t="s">
        <v>18</v>
      </c>
      <c r="C154" s="78">
        <f>+C142*L142+C143*L143+C144*L144+C145*L145+C146*L146</f>
        <v>21685681</v>
      </c>
      <c r="D154" s="78">
        <f>+C148-C154</f>
        <v>16509994</v>
      </c>
      <c r="E154" s="63"/>
      <c r="F154" s="63"/>
      <c r="G154" s="63"/>
      <c r="O154" s="388"/>
      <c r="P154" s="142" t="s">
        <v>18</v>
      </c>
      <c r="Q154" s="78">
        <f>+Q142*Z142+Q143*Z143+Q144*Z144+Q145*Z145+Q146*Z146</f>
        <v>24557715</v>
      </c>
      <c r="R154" s="78">
        <f>+Q148-Q154</f>
        <v>11741175</v>
      </c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D154" s="407" t="s">
        <v>18</v>
      </c>
      <c r="AE154" s="78">
        <f>+AE142*AN142+AE143*AN143+AE144*AN144+AE145*AN145+AE146*AN146</f>
        <v>30773530.75</v>
      </c>
      <c r="AF154" s="78">
        <f>+AE148-AE154</f>
        <v>15436701.75</v>
      </c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</row>
    <row r="155" spans="2:47" x14ac:dyDescent="0.25">
      <c r="B155" s="474" t="s">
        <v>19</v>
      </c>
      <c r="C155" s="63"/>
      <c r="D155" s="78">
        <f>+D142*L142+D143*L143+D144*L144+D145*L145+D146*L146</f>
        <v>17265452</v>
      </c>
      <c r="E155" s="79">
        <f>+D148-D155</f>
        <v>13145568</v>
      </c>
      <c r="F155" s="63"/>
      <c r="G155" s="63"/>
      <c r="O155" s="388"/>
      <c r="P155" s="142" t="s">
        <v>19</v>
      </c>
      <c r="Q155" s="63"/>
      <c r="R155" s="78">
        <f>+R142*Z142+R143*Z143+R144*Z144+R145*Z145+R146*Z146</f>
        <v>18311497.999999996</v>
      </c>
      <c r="S155" s="79">
        <f>+R148-R155</f>
        <v>8754762</v>
      </c>
      <c r="T155" s="63"/>
      <c r="U155" s="63"/>
      <c r="V155" s="63"/>
      <c r="W155" s="63"/>
      <c r="X155" s="63"/>
      <c r="Y155" s="63"/>
      <c r="Z155" s="63"/>
      <c r="AA155" s="63"/>
      <c r="AB155" s="63"/>
      <c r="AD155" s="407" t="s">
        <v>19</v>
      </c>
      <c r="AE155" s="63"/>
      <c r="AF155" s="78">
        <f>+AF142*AN142+AF143*AN143+AF144*AN144+AF145*AN145+AF146*AN146</f>
        <v>24052664.125</v>
      </c>
      <c r="AG155" s="79">
        <f>+AF148-AF155</f>
        <v>12065364.625</v>
      </c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</row>
    <row r="156" spans="2:47" x14ac:dyDescent="0.25">
      <c r="B156" s="474" t="s">
        <v>21</v>
      </c>
      <c r="C156" s="63"/>
      <c r="D156" s="63"/>
      <c r="E156" s="79">
        <f>+E142*L142+E143*L143+E144*L144+E145*L145+E146*L146</f>
        <v>16709949</v>
      </c>
      <c r="F156" s="79">
        <f>+E148-E156</f>
        <v>12722666</v>
      </c>
      <c r="G156" s="63"/>
      <c r="O156" s="388"/>
      <c r="P156" s="142" t="s">
        <v>21</v>
      </c>
      <c r="Q156" s="63"/>
      <c r="R156" s="63"/>
      <c r="S156" s="79">
        <f>+S142*Z142+S143*Z143+S144*Z144+S145*Z145+S146*Z146</f>
        <v>18059785</v>
      </c>
      <c r="T156" s="79">
        <f>+S148-S156</f>
        <v>8634315</v>
      </c>
      <c r="U156" s="63"/>
      <c r="V156" s="63"/>
      <c r="W156" s="63"/>
      <c r="X156" s="63"/>
      <c r="Y156" s="63"/>
      <c r="Z156" s="63"/>
      <c r="AA156" s="63"/>
      <c r="AB156" s="63"/>
      <c r="AD156" s="407" t="s">
        <v>21</v>
      </c>
      <c r="AE156" s="63"/>
      <c r="AF156" s="63"/>
      <c r="AG156" s="79">
        <f>+AG142*AN142+AG143*AN143+AG144*AN144+AG145*AN145+AG146*AN146</f>
        <v>23399296.499999996</v>
      </c>
      <c r="AH156" s="79">
        <f>+AG148-AG156</f>
        <v>11737618.500000004</v>
      </c>
      <c r="AI156" s="63"/>
      <c r="AJ156" s="63"/>
      <c r="AK156" s="63"/>
      <c r="AL156" s="63"/>
      <c r="AM156" s="63"/>
      <c r="AN156" s="63"/>
      <c r="AO156" s="63"/>
      <c r="AP156" s="63"/>
      <c r="AQ156" s="63"/>
    </row>
    <row r="157" spans="2:47" ht="15.75" thickBot="1" x14ac:dyDescent="0.3">
      <c r="B157" s="474" t="s">
        <v>21</v>
      </c>
      <c r="C157" s="71"/>
      <c r="D157" s="71"/>
      <c r="E157" s="71"/>
      <c r="F157" s="80">
        <f>+F142*L142+F143*L143+F144*L144+F145*L145+F146*L146</f>
        <v>17552571</v>
      </c>
      <c r="G157" s="80">
        <f>+F148-F157</f>
        <v>13364014</v>
      </c>
      <c r="O157" s="388"/>
      <c r="P157" s="142" t="s">
        <v>21</v>
      </c>
      <c r="Q157" s="71"/>
      <c r="R157" s="71"/>
      <c r="S157" s="71"/>
      <c r="T157" s="80">
        <f>+T142*Z142+T143*Z143+T144*Z144+T145*Z145+T146*Z146</f>
        <v>18230291</v>
      </c>
      <c r="U157" s="80">
        <f>+T148-T157</f>
        <v>8715879</v>
      </c>
      <c r="V157" s="63"/>
      <c r="W157" s="63"/>
      <c r="X157" s="63"/>
      <c r="Y157" s="63"/>
      <c r="Z157" s="63"/>
      <c r="AA157" s="63"/>
      <c r="AB157" s="63"/>
      <c r="AD157" s="407" t="s">
        <v>21</v>
      </c>
      <c r="AE157" s="71"/>
      <c r="AF157" s="71"/>
      <c r="AG157" s="71"/>
      <c r="AH157" s="80">
        <f>+AH142*AN142+AH143*AN143+AH144*AN144+AH145*AN145+AH146*AN146</f>
        <v>23672133.125</v>
      </c>
      <c r="AI157" s="80">
        <f>+AH148-AH157</f>
        <v>11874485.625</v>
      </c>
      <c r="AJ157" s="63"/>
      <c r="AK157" s="63"/>
      <c r="AL157" s="63"/>
      <c r="AM157" s="63"/>
      <c r="AN157" s="63"/>
      <c r="AO157" s="63"/>
      <c r="AP157" s="63"/>
      <c r="AQ157" s="63"/>
    </row>
    <row r="158" spans="2:47" x14ac:dyDescent="0.25">
      <c r="B158" s="63"/>
      <c r="C158" s="155">
        <f>SUM(C154:C157)</f>
        <v>21685681</v>
      </c>
      <c r="D158" s="155">
        <f t="shared" ref="D158:G158" si="190">SUM(D154:D157)</f>
        <v>33775446</v>
      </c>
      <c r="E158" s="155">
        <f t="shared" si="190"/>
        <v>29855517</v>
      </c>
      <c r="F158" s="155">
        <f t="shared" si="190"/>
        <v>30275237</v>
      </c>
      <c r="G158" s="155">
        <f t="shared" si="190"/>
        <v>13364014</v>
      </c>
      <c r="O158" s="388"/>
      <c r="P158" s="63"/>
      <c r="Q158" s="155">
        <f>SUM(Q154:Q157)</f>
        <v>24557715</v>
      </c>
      <c r="R158" s="155">
        <f t="shared" ref="R158" si="191">SUM(R154:R157)</f>
        <v>30052672.999999996</v>
      </c>
      <c r="S158" s="155">
        <f t="shared" ref="S158" si="192">SUM(S154:S157)</f>
        <v>26814547</v>
      </c>
      <c r="T158" s="155">
        <f t="shared" ref="T158" si="193">SUM(T154:T157)</f>
        <v>26864606</v>
      </c>
      <c r="U158" s="155">
        <f t="shared" ref="U158" si="194">SUM(U154:U157)</f>
        <v>8715879</v>
      </c>
      <c r="V158" s="407"/>
      <c r="W158" s="63"/>
      <c r="X158" s="63"/>
      <c r="Y158" s="63"/>
      <c r="Z158" s="63"/>
      <c r="AA158" s="63"/>
      <c r="AB158" s="63"/>
      <c r="AD158" s="63"/>
      <c r="AE158" s="155">
        <f>SUM(AE154:AE157)</f>
        <v>30773530.75</v>
      </c>
      <c r="AF158" s="155">
        <f t="shared" ref="AF158" si="195">SUM(AF154:AF157)</f>
        <v>39489365.875</v>
      </c>
      <c r="AG158" s="155">
        <f t="shared" ref="AG158" si="196">SUM(AG154:AG157)</f>
        <v>35464661.125</v>
      </c>
      <c r="AH158" s="155">
        <f t="shared" ref="AH158" si="197">SUM(AH154:AH157)</f>
        <v>35409751.625</v>
      </c>
      <c r="AI158" s="155">
        <f t="shared" ref="AI158" si="198">SUM(AI154:AI157)</f>
        <v>11874485.625</v>
      </c>
      <c r="AJ158" s="63"/>
      <c r="AK158" s="63"/>
      <c r="AL158" s="63"/>
      <c r="AM158" s="63"/>
      <c r="AN158" s="63"/>
      <c r="AO158" s="63"/>
      <c r="AP158" s="63"/>
      <c r="AQ158" s="63"/>
    </row>
    <row r="159" spans="2:47" x14ac:dyDescent="0.25">
      <c r="O159" s="388"/>
    </row>
    <row r="160" spans="2:47" x14ac:dyDescent="0.25">
      <c r="O160" s="388"/>
      <c r="X160" s="407"/>
    </row>
  </sheetData>
  <mergeCells count="17">
    <mergeCell ref="U89:V89"/>
    <mergeCell ref="G93:H93"/>
    <mergeCell ref="U93:V93"/>
    <mergeCell ref="C4:D4"/>
    <mergeCell ref="A2:AL2"/>
    <mergeCell ref="AI93:AJ93"/>
    <mergeCell ref="G89:H89"/>
    <mergeCell ref="G90:H90"/>
    <mergeCell ref="G91:H91"/>
    <mergeCell ref="G92:H92"/>
    <mergeCell ref="AI89:AJ89"/>
    <mergeCell ref="AI90:AJ90"/>
    <mergeCell ref="AI91:AJ91"/>
    <mergeCell ref="AI92:AJ92"/>
    <mergeCell ref="U90:V90"/>
    <mergeCell ref="U91:V91"/>
    <mergeCell ref="U92:V9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4660F-8C38-4342-AB20-E8F53DA1CCC7}">
  <dimension ref="A1:Q54"/>
  <sheetViews>
    <sheetView topLeftCell="A28" zoomScale="70" zoomScaleNormal="70" workbookViewId="0">
      <selection activeCell="G33" sqref="G33"/>
    </sheetView>
  </sheetViews>
  <sheetFormatPr baseColWidth="10" defaultRowHeight="15" x14ac:dyDescent="0.25"/>
  <cols>
    <col min="1" max="1" width="29.140625" bestFit="1" customWidth="1"/>
    <col min="2" max="2" width="40.7109375" bestFit="1" customWidth="1"/>
    <col min="3" max="3" width="18" customWidth="1"/>
    <col min="4" max="4" width="16.140625" customWidth="1"/>
    <col min="5" max="5" width="16" customWidth="1"/>
    <col min="6" max="6" width="19.140625" customWidth="1"/>
    <col min="7" max="7" width="21.5703125" bestFit="1" customWidth="1"/>
    <col min="8" max="8" width="13.140625" bestFit="1" customWidth="1"/>
    <col min="9" max="9" width="8.5703125" bestFit="1" customWidth="1"/>
    <col min="12" max="12" width="3.85546875" customWidth="1"/>
  </cols>
  <sheetData>
    <row r="1" spans="1:10" ht="15.75" thickBot="1" x14ac:dyDescent="0.3">
      <c r="A1" s="128" t="s">
        <v>61</v>
      </c>
      <c r="B1" s="114"/>
      <c r="C1" s="114"/>
      <c r="D1" s="114"/>
      <c r="E1" s="114"/>
      <c r="F1" s="109"/>
      <c r="G1" s="109"/>
      <c r="H1" s="109"/>
    </row>
    <row r="2" spans="1:10" ht="15.75" thickBot="1" x14ac:dyDescent="0.3">
      <c r="A2" s="109"/>
      <c r="B2" s="114"/>
      <c r="C2" s="114"/>
      <c r="D2" s="114"/>
      <c r="E2" s="114"/>
      <c r="F2" s="109"/>
      <c r="G2" s="109"/>
      <c r="H2" s="618" t="s">
        <v>306</v>
      </c>
      <c r="I2" s="619"/>
      <c r="J2" s="620"/>
    </row>
    <row r="3" spans="1:10" x14ac:dyDescent="0.25">
      <c r="A3" s="120" t="s">
        <v>62</v>
      </c>
      <c r="B3" s="111" t="s">
        <v>15</v>
      </c>
      <c r="C3" s="111" t="s">
        <v>281</v>
      </c>
      <c r="D3" s="111" t="s">
        <v>286</v>
      </c>
      <c r="E3" s="111" t="s">
        <v>63</v>
      </c>
      <c r="F3" s="109"/>
      <c r="G3" s="109"/>
      <c r="H3" s="417"/>
      <c r="I3" s="617" t="s">
        <v>123</v>
      </c>
      <c r="J3" s="621" t="s">
        <v>124</v>
      </c>
    </row>
    <row r="4" spans="1:10" x14ac:dyDescent="0.25">
      <c r="A4" s="111" t="s">
        <v>66</v>
      </c>
      <c r="B4" s="109">
        <v>13</v>
      </c>
      <c r="C4" s="109">
        <v>18</v>
      </c>
      <c r="D4" s="109">
        <v>28</v>
      </c>
      <c r="E4" s="109"/>
      <c r="F4" s="109"/>
      <c r="G4" s="109"/>
      <c r="H4" s="419"/>
      <c r="I4" s="123">
        <v>1</v>
      </c>
      <c r="J4" s="622">
        <v>60</v>
      </c>
    </row>
    <row r="5" spans="1:10" x14ac:dyDescent="0.25">
      <c r="A5" s="111" t="s">
        <v>296</v>
      </c>
      <c r="B5" s="117">
        <v>28</v>
      </c>
      <c r="C5" s="117">
        <v>21</v>
      </c>
      <c r="D5" s="117">
        <v>36</v>
      </c>
      <c r="E5" s="117"/>
      <c r="F5" s="109"/>
      <c r="G5" s="141" t="s">
        <v>307</v>
      </c>
      <c r="H5" s="623" t="s">
        <v>125</v>
      </c>
      <c r="I5" s="151">
        <v>40</v>
      </c>
      <c r="J5" s="453">
        <v>240</v>
      </c>
    </row>
    <row r="6" spans="1:10" ht="15.75" thickBot="1" x14ac:dyDescent="0.3">
      <c r="A6" s="111" t="s">
        <v>297</v>
      </c>
      <c r="B6" s="118">
        <v>14</v>
      </c>
      <c r="C6" s="118">
        <v>14</v>
      </c>
      <c r="D6" s="118">
        <v>45</v>
      </c>
      <c r="E6" s="118"/>
      <c r="F6" s="109"/>
      <c r="G6" s="109"/>
      <c r="H6" s="623" t="s">
        <v>126</v>
      </c>
      <c r="I6" s="151">
        <v>160</v>
      </c>
      <c r="J6" s="453">
        <v>9600</v>
      </c>
    </row>
    <row r="7" spans="1:10" ht="15.75" thickBot="1" x14ac:dyDescent="0.3">
      <c r="A7" s="116"/>
      <c r="B7" s="109">
        <f>SUM(B4:B6)</f>
        <v>55</v>
      </c>
      <c r="C7" s="150">
        <f t="shared" ref="C7:E7" si="0">SUM(C4:C6)</f>
        <v>53</v>
      </c>
      <c r="D7" s="150">
        <f t="shared" si="0"/>
        <v>109</v>
      </c>
      <c r="E7" s="150">
        <f t="shared" si="0"/>
        <v>0</v>
      </c>
      <c r="F7" s="109"/>
      <c r="G7" s="109"/>
      <c r="H7" s="624" t="s">
        <v>127</v>
      </c>
      <c r="I7" s="468">
        <v>480</v>
      </c>
      <c r="J7" s="469">
        <v>28800</v>
      </c>
    </row>
    <row r="9" spans="1:10" x14ac:dyDescent="0.25">
      <c r="A9" s="120" t="s">
        <v>53</v>
      </c>
      <c r="B9" s="111" t="s">
        <v>18</v>
      </c>
      <c r="C9" s="111" t="s">
        <v>19</v>
      </c>
      <c r="D9" s="111" t="s">
        <v>20</v>
      </c>
      <c r="E9" s="111" t="s">
        <v>21</v>
      </c>
      <c r="F9" s="109"/>
      <c r="G9" s="109"/>
      <c r="H9" s="109"/>
    </row>
    <row r="10" spans="1:10" x14ac:dyDescent="0.25">
      <c r="A10" s="111" t="s">
        <v>15</v>
      </c>
      <c r="B10" s="115">
        <f>+P.PRODUCCION!C78</f>
        <v>1621</v>
      </c>
      <c r="C10" s="115">
        <f>+P.PRODUCCION!D78</f>
        <v>1407</v>
      </c>
      <c r="D10" s="115">
        <f>+P.PRODUCCION!E78</f>
        <v>1351</v>
      </c>
      <c r="E10" s="115">
        <f>+P.PRODUCCION!F78</f>
        <v>1404</v>
      </c>
      <c r="F10" s="109"/>
      <c r="G10" s="109"/>
      <c r="H10" s="109"/>
    </row>
    <row r="11" spans="1:10" x14ac:dyDescent="0.25">
      <c r="A11" s="111" t="s">
        <v>281</v>
      </c>
      <c r="B11" s="115">
        <f>+P.PRODUCCION!Q78</f>
        <v>1095</v>
      </c>
      <c r="C11" s="115">
        <f>+P.PRODUCCION!R78</f>
        <v>883</v>
      </c>
      <c r="D11" s="115">
        <f>+P.PRODUCCION!S78</f>
        <v>869</v>
      </c>
      <c r="E11" s="115">
        <f>+P.PRODUCCION!T78</f>
        <v>874</v>
      </c>
      <c r="F11" s="109"/>
      <c r="G11" s="109"/>
      <c r="H11" s="109"/>
    </row>
    <row r="12" spans="1:10" x14ac:dyDescent="0.25">
      <c r="A12" s="111" t="s">
        <v>286</v>
      </c>
      <c r="B12" s="115">
        <f>+P.PRODUCCION!AE78</f>
        <v>1133</v>
      </c>
      <c r="C12" s="115">
        <f>+P.PRODUCCION!AF78</f>
        <v>964</v>
      </c>
      <c r="D12" s="115">
        <f>+P.PRODUCCION!AG78</f>
        <v>933</v>
      </c>
      <c r="E12" s="115">
        <f>+P.PRODUCCION!AH78</f>
        <v>951</v>
      </c>
      <c r="F12" s="109"/>
      <c r="G12" s="109"/>
      <c r="H12" s="109"/>
    </row>
    <row r="13" spans="1:10" x14ac:dyDescent="0.25">
      <c r="A13" s="111"/>
      <c r="B13" s="115"/>
      <c r="C13" s="115"/>
      <c r="D13" s="109"/>
      <c r="E13" s="109"/>
      <c r="F13" s="109"/>
      <c r="G13" s="109"/>
      <c r="H13" s="109"/>
    </row>
    <row r="15" spans="1:10" x14ac:dyDescent="0.25">
      <c r="A15" s="120" t="s">
        <v>67</v>
      </c>
      <c r="B15" s="120" t="s">
        <v>64</v>
      </c>
      <c r="C15" s="111" t="s">
        <v>18</v>
      </c>
      <c r="D15" s="111" t="s">
        <v>19</v>
      </c>
      <c r="E15" s="111" t="s">
        <v>20</v>
      </c>
      <c r="F15" s="111" t="s">
        <v>21</v>
      </c>
      <c r="G15" s="109"/>
      <c r="H15" s="109"/>
      <c r="I15" s="109"/>
      <c r="J15" s="109"/>
    </row>
    <row r="16" spans="1:10" x14ac:dyDescent="0.25">
      <c r="A16" s="169" t="s">
        <v>15</v>
      </c>
      <c r="B16" s="111" t="s">
        <v>66</v>
      </c>
      <c r="C16" s="117">
        <f>+(B4*$B$10)/60</f>
        <v>351.21666666666664</v>
      </c>
      <c r="D16" s="117">
        <f>+(B4*$C$10)/60</f>
        <v>304.85000000000002</v>
      </c>
      <c r="E16" s="117">
        <f>+(B4*$D$10)/60</f>
        <v>292.71666666666664</v>
      </c>
      <c r="F16" s="117">
        <f>+(B4*$E$10)/60</f>
        <v>304.2</v>
      </c>
      <c r="G16" s="109"/>
      <c r="H16" s="109"/>
      <c r="I16" s="109"/>
      <c r="J16" s="109"/>
    </row>
    <row r="17" spans="1:17" x14ac:dyDescent="0.25">
      <c r="A17" s="161"/>
      <c r="B17" s="111" t="s">
        <v>296</v>
      </c>
      <c r="C17" s="117">
        <f t="shared" ref="C17" si="1">+(B5*$B$10)/60</f>
        <v>756.4666666666667</v>
      </c>
      <c r="D17" s="117">
        <f t="shared" ref="D17" si="2">+(B5*$C$10)/60</f>
        <v>656.6</v>
      </c>
      <c r="E17" s="117">
        <f t="shared" ref="E17" si="3">+(B5*$D$10)/60</f>
        <v>630.4666666666667</v>
      </c>
      <c r="F17" s="117">
        <f t="shared" ref="F17" si="4">+(B5*$E$10)/60</f>
        <v>655.20000000000005</v>
      </c>
      <c r="G17" s="109"/>
      <c r="H17" s="109"/>
      <c r="I17" s="109"/>
      <c r="J17" s="109"/>
    </row>
    <row r="18" spans="1:17" ht="15.75" thickBot="1" x14ac:dyDescent="0.3">
      <c r="A18" s="162"/>
      <c r="B18" s="122" t="s">
        <v>297</v>
      </c>
      <c r="C18" s="112">
        <f>+(B6*$B$10)/60</f>
        <v>378.23333333333335</v>
      </c>
      <c r="D18" s="112">
        <f>+(B6*$C$10)/60</f>
        <v>328.3</v>
      </c>
      <c r="E18" s="112">
        <f>+(B6*$D$10)/60</f>
        <v>315.23333333333335</v>
      </c>
      <c r="F18" s="112">
        <f>+(B6*$E$10)/60</f>
        <v>327.60000000000002</v>
      </c>
      <c r="G18" s="109"/>
      <c r="H18" s="109"/>
      <c r="I18" s="109"/>
      <c r="J18" s="109"/>
    </row>
    <row r="19" spans="1:17" ht="15.75" thickBot="1" x14ac:dyDescent="0.3">
      <c r="A19" s="161" t="s">
        <v>120</v>
      </c>
      <c r="B19" s="146"/>
      <c r="C19" s="117">
        <f>SUM(C16:C18)</f>
        <v>1485.9166666666667</v>
      </c>
      <c r="D19" s="117">
        <f t="shared" ref="D19:F19" si="5">SUM(D16:D18)</f>
        <v>1289.75</v>
      </c>
      <c r="E19" s="117">
        <f t="shared" si="5"/>
        <v>1238.4166666666667</v>
      </c>
      <c r="F19" s="117">
        <f t="shared" si="5"/>
        <v>1287</v>
      </c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</row>
    <row r="20" spans="1:17" x14ac:dyDescent="0.25">
      <c r="A20" s="170" t="s">
        <v>281</v>
      </c>
      <c r="B20" s="160" t="s">
        <v>66</v>
      </c>
      <c r="C20" s="48">
        <f>+(C4*$B$11)/60</f>
        <v>328.5</v>
      </c>
      <c r="D20" s="48">
        <f>+(C4*$C$11)/60</f>
        <v>264.89999999999998</v>
      </c>
      <c r="E20" s="48">
        <f>+(C4*$D$11)/60</f>
        <v>260.7</v>
      </c>
      <c r="F20" s="48">
        <f>+(C4*$E$11)/60</f>
        <v>262.2</v>
      </c>
      <c r="G20" s="109"/>
      <c r="H20" s="109"/>
      <c r="I20" s="109"/>
      <c r="J20" s="109"/>
    </row>
    <row r="21" spans="1:17" x14ac:dyDescent="0.25">
      <c r="A21" s="163"/>
      <c r="B21" s="146" t="s">
        <v>296</v>
      </c>
      <c r="C21" s="117">
        <f>+(C5*$B$11)/60</f>
        <v>383.25</v>
      </c>
      <c r="D21" s="117">
        <f>+(C5*$C$11)/60</f>
        <v>309.05</v>
      </c>
      <c r="E21" s="117">
        <f>+(C5*$D$11)/60</f>
        <v>304.14999999999998</v>
      </c>
      <c r="F21" s="117">
        <f>+(C5*$E$11)/60</f>
        <v>305.89999999999998</v>
      </c>
      <c r="G21" s="109"/>
      <c r="H21" s="109"/>
      <c r="I21" s="109"/>
      <c r="J21" s="109"/>
    </row>
    <row r="22" spans="1:17" ht="15.75" thickBot="1" x14ac:dyDescent="0.3">
      <c r="A22" s="164"/>
      <c r="B22" s="122" t="s">
        <v>297</v>
      </c>
      <c r="C22" s="132">
        <f>+(C6*$B$11)/60</f>
        <v>255.5</v>
      </c>
      <c r="D22" s="132">
        <f>+(C6*$C$11)/60</f>
        <v>206.03333333333333</v>
      </c>
      <c r="E22" s="132">
        <f>+(C6*$D$11)/60</f>
        <v>202.76666666666668</v>
      </c>
      <c r="F22" s="132">
        <f>+(C6*$E$11)/60</f>
        <v>203.93333333333334</v>
      </c>
      <c r="G22" s="109"/>
      <c r="H22" s="109"/>
      <c r="I22" s="109"/>
      <c r="J22" s="109"/>
    </row>
    <row r="23" spans="1:17" ht="15.75" thickBot="1" x14ac:dyDescent="0.3">
      <c r="A23" s="166" t="s">
        <v>120</v>
      </c>
      <c r="B23" s="167"/>
      <c r="C23" s="67">
        <f>SUM(C20:C22)</f>
        <v>967.25</v>
      </c>
      <c r="D23" s="67">
        <f t="shared" ref="D23:F23" si="6">SUM(D20:D22)</f>
        <v>779.98333333333335</v>
      </c>
      <c r="E23" s="67">
        <f t="shared" si="6"/>
        <v>767.61666666666656</v>
      </c>
      <c r="F23" s="67">
        <f t="shared" si="6"/>
        <v>772.0333333333333</v>
      </c>
      <c r="G23" s="150"/>
      <c r="H23" s="150"/>
      <c r="I23" s="150"/>
      <c r="J23" s="150"/>
      <c r="K23" s="150"/>
      <c r="L23" s="150"/>
      <c r="M23" s="150"/>
      <c r="N23" s="150"/>
      <c r="O23" s="150"/>
      <c r="P23" s="150"/>
    </row>
    <row r="24" spans="1:17" x14ac:dyDescent="0.25">
      <c r="A24" s="171" t="s">
        <v>286</v>
      </c>
      <c r="B24" s="142" t="s">
        <v>66</v>
      </c>
      <c r="C24" s="109">
        <f>+(D4*$B$12)/60</f>
        <v>528.73333333333335</v>
      </c>
      <c r="D24" s="109">
        <f>+(D4*$C$12)/60</f>
        <v>449.86666666666667</v>
      </c>
      <c r="E24" s="109">
        <f>+(D4*$D$12)/60</f>
        <v>435.4</v>
      </c>
      <c r="F24" s="109">
        <f>+(D4*$E$12)/60</f>
        <v>443.8</v>
      </c>
      <c r="G24" s="109"/>
      <c r="H24" s="109"/>
      <c r="I24" s="109"/>
      <c r="J24" s="109"/>
    </row>
    <row r="25" spans="1:17" x14ac:dyDescent="0.25">
      <c r="A25" s="165"/>
      <c r="B25" s="142" t="s">
        <v>296</v>
      </c>
      <c r="C25" s="150">
        <f>+(D5*$B$12)/60</f>
        <v>679.8</v>
      </c>
      <c r="D25" s="150">
        <f>+(D5*$C$12)/60</f>
        <v>578.4</v>
      </c>
      <c r="E25" s="150">
        <f>+(D5*$D$12)/60</f>
        <v>559.79999999999995</v>
      </c>
      <c r="F25" s="150">
        <f>+(D5*$E$12)/60</f>
        <v>570.6</v>
      </c>
      <c r="G25" s="150"/>
      <c r="H25" s="150"/>
      <c r="I25" s="150"/>
      <c r="J25" s="150"/>
      <c r="K25" s="150"/>
      <c r="L25" s="150"/>
      <c r="M25" s="150"/>
    </row>
    <row r="26" spans="1:17" ht="15.75" thickBot="1" x14ac:dyDescent="0.3">
      <c r="A26" s="165"/>
      <c r="B26" s="142" t="s">
        <v>297</v>
      </c>
      <c r="C26" s="150">
        <f>+(D6*$B$12)/60</f>
        <v>849.75</v>
      </c>
      <c r="D26" s="150">
        <f>+(D6*$C$12)/60</f>
        <v>723</v>
      </c>
      <c r="E26" s="150">
        <f>+(D6*$D$12)/60</f>
        <v>699.75</v>
      </c>
      <c r="F26" s="150">
        <f>+(D6*$E$12)/60</f>
        <v>713.25</v>
      </c>
      <c r="G26" s="150"/>
      <c r="H26" s="150"/>
      <c r="I26" s="150"/>
      <c r="J26" s="150"/>
      <c r="K26" s="150"/>
      <c r="L26" s="150"/>
      <c r="M26" s="150"/>
    </row>
    <row r="27" spans="1:17" ht="15.75" thickBot="1" x14ac:dyDescent="0.3">
      <c r="A27" s="66" t="s">
        <v>120</v>
      </c>
      <c r="B27" s="168"/>
      <c r="C27" s="67">
        <f>SUM(C24:C26)</f>
        <v>2058.2833333333333</v>
      </c>
      <c r="D27" s="67">
        <f t="shared" ref="D27:F27" si="7">SUM(D24:D26)</f>
        <v>1751.2666666666667</v>
      </c>
      <c r="E27" s="67">
        <f t="shared" si="7"/>
        <v>1694.9499999999998</v>
      </c>
      <c r="F27" s="67">
        <f t="shared" si="7"/>
        <v>1727.65</v>
      </c>
      <c r="G27" s="109"/>
      <c r="H27" s="109"/>
      <c r="I27" s="109"/>
      <c r="J27" s="109"/>
      <c r="Q27" s="150"/>
    </row>
    <row r="28" spans="1:17" x14ac:dyDescent="0.25">
      <c r="A28" s="150"/>
      <c r="B28" s="116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</row>
    <row r="29" spans="1:17" x14ac:dyDescent="0.25">
      <c r="A29" s="120" t="s">
        <v>213</v>
      </c>
      <c r="B29" s="142" t="s">
        <v>18</v>
      </c>
      <c r="C29" s="142" t="s">
        <v>19</v>
      </c>
      <c r="D29" s="142" t="s">
        <v>20</v>
      </c>
      <c r="E29" s="142" t="s">
        <v>21</v>
      </c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</row>
    <row r="30" spans="1:17" x14ac:dyDescent="0.25">
      <c r="A30" s="120" t="s">
        <v>201</v>
      </c>
      <c r="B30" s="150">
        <f>+((C19)/3)/160</f>
        <v>3.0956597222222224</v>
      </c>
      <c r="C30" s="150">
        <f t="shared" ref="C30:E30" si="8">+((D19)/3)/160</f>
        <v>2.6869791666666667</v>
      </c>
      <c r="D30" s="150">
        <f t="shared" si="8"/>
        <v>2.5800347222222224</v>
      </c>
      <c r="E30" s="150">
        <f t="shared" si="8"/>
        <v>2.6812499999999999</v>
      </c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</row>
    <row r="31" spans="1:17" x14ac:dyDescent="0.25">
      <c r="A31" s="120" t="s">
        <v>202</v>
      </c>
      <c r="B31" s="150">
        <f>+((C23)/3)/160</f>
        <v>2.0151041666666667</v>
      </c>
      <c r="C31" s="150">
        <f t="shared" ref="C31:E31" si="9">+((D23)/3)/160</f>
        <v>1.6249652777777779</v>
      </c>
      <c r="D31" s="150">
        <f t="shared" si="9"/>
        <v>1.5992013888888885</v>
      </c>
      <c r="E31" s="150">
        <f t="shared" si="9"/>
        <v>1.6084027777777776</v>
      </c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</row>
    <row r="32" spans="1:17" x14ac:dyDescent="0.25">
      <c r="A32" s="120" t="s">
        <v>203</v>
      </c>
      <c r="B32" s="150">
        <f>+((C27)/3)/160</f>
        <v>4.2880902777777781</v>
      </c>
      <c r="C32" s="150">
        <f t="shared" ref="C32:E32" si="10">+((D27)/3)/160</f>
        <v>3.6484722222222223</v>
      </c>
      <c r="D32" s="150">
        <f t="shared" si="10"/>
        <v>3.5311458333333325</v>
      </c>
      <c r="E32" s="150">
        <f t="shared" si="10"/>
        <v>3.5992708333333332</v>
      </c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</row>
    <row r="34" spans="1:12" x14ac:dyDescent="0.25">
      <c r="A34" s="120" t="s">
        <v>212</v>
      </c>
      <c r="B34" s="111" t="s">
        <v>18</v>
      </c>
      <c r="C34" s="111" t="s">
        <v>19</v>
      </c>
      <c r="D34" s="111" t="s">
        <v>20</v>
      </c>
      <c r="E34" s="111" t="s">
        <v>21</v>
      </c>
      <c r="F34" s="109"/>
      <c r="G34" s="109"/>
    </row>
    <row r="35" spans="1:12" x14ac:dyDescent="0.25">
      <c r="A35" s="120" t="s">
        <v>201</v>
      </c>
      <c r="B35" s="109">
        <f>+ROUNDDOWN(((C19)/3)/160,0)</f>
        <v>3</v>
      </c>
      <c r="C35" s="150">
        <f t="shared" ref="C35:E35" si="11">+ROUNDUP(((D19)/3)/160,0.5)</f>
        <v>3</v>
      </c>
      <c r="D35" s="150">
        <f t="shared" si="11"/>
        <v>3</v>
      </c>
      <c r="E35" s="150">
        <f t="shared" si="11"/>
        <v>3</v>
      </c>
      <c r="F35" s="109"/>
      <c r="G35" s="109"/>
    </row>
    <row r="36" spans="1:12" x14ac:dyDescent="0.25">
      <c r="A36" s="120" t="s">
        <v>202</v>
      </c>
      <c r="B36" s="150">
        <f>+ROUNDDOWN(((C23)/3)/160,0.5)</f>
        <v>2</v>
      </c>
      <c r="C36" s="150">
        <f t="shared" ref="C36:E36" si="12">+ROUNDUP(((D23)/3)/160,0.5)</f>
        <v>2</v>
      </c>
      <c r="D36" s="150">
        <f t="shared" si="12"/>
        <v>2</v>
      </c>
      <c r="E36" s="150">
        <f t="shared" si="12"/>
        <v>2</v>
      </c>
      <c r="F36" s="109"/>
      <c r="G36" s="109"/>
    </row>
    <row r="37" spans="1:12" x14ac:dyDescent="0.25">
      <c r="A37" s="120" t="s">
        <v>203</v>
      </c>
      <c r="B37" s="150">
        <f>+ROUNDDOWN(((C27)/3)/160,0.5)</f>
        <v>4</v>
      </c>
      <c r="C37" s="150">
        <f>+ROUNDUP(((D27)/3)/160,0.5)</f>
        <v>4</v>
      </c>
      <c r="D37" s="150">
        <f>+ROUNDUP(((E27)/3)/160,0.5)</f>
        <v>4</v>
      </c>
      <c r="E37" s="150">
        <f>+ROUNDUP(((F27)/3)/160,0.5)</f>
        <v>4</v>
      </c>
      <c r="F37" s="109"/>
      <c r="G37" s="109"/>
    </row>
    <row r="38" spans="1:12" x14ac:dyDescent="0.25">
      <c r="A38" s="116"/>
      <c r="B38" s="109"/>
      <c r="C38" s="109"/>
      <c r="D38" s="109"/>
      <c r="E38" s="109"/>
      <c r="F38" s="109"/>
      <c r="G38" s="109"/>
    </row>
    <row r="39" spans="1:12" x14ac:dyDescent="0.25">
      <c r="A39" s="120" t="s">
        <v>68</v>
      </c>
      <c r="B39" s="111" t="s">
        <v>18</v>
      </c>
      <c r="C39" s="111" t="s">
        <v>19</v>
      </c>
      <c r="D39" s="111" t="s">
        <v>20</v>
      </c>
      <c r="E39" s="111" t="s">
        <v>21</v>
      </c>
      <c r="F39" s="109"/>
      <c r="G39" s="109"/>
      <c r="H39" s="109"/>
      <c r="I39" s="109"/>
      <c r="J39" s="109"/>
      <c r="K39" s="109"/>
    </row>
    <row r="40" spans="1:12" x14ac:dyDescent="0.25">
      <c r="A40" s="120" t="s">
        <v>201</v>
      </c>
      <c r="B40" s="109">
        <f>+B35*$I$7</f>
        <v>1440</v>
      </c>
      <c r="C40" s="109">
        <f>+C35*$I$7</f>
        <v>1440</v>
      </c>
      <c r="D40" s="109">
        <f>+D35*$I$7</f>
        <v>1440</v>
      </c>
      <c r="E40" s="109">
        <f>+E35*$I$7</f>
        <v>1440</v>
      </c>
      <c r="F40" s="109"/>
      <c r="G40" s="109"/>
      <c r="H40" s="109"/>
      <c r="I40" s="109"/>
      <c r="J40" s="109"/>
      <c r="K40" s="109"/>
    </row>
    <row r="41" spans="1:12" x14ac:dyDescent="0.25">
      <c r="A41" s="120" t="s">
        <v>202</v>
      </c>
      <c r="B41" s="109">
        <f>+B36*$I$7</f>
        <v>960</v>
      </c>
      <c r="C41" s="109">
        <f>+C36*$I$7</f>
        <v>960</v>
      </c>
      <c r="D41" s="109">
        <f>+D36*$I$7</f>
        <v>960</v>
      </c>
      <c r="E41" s="109">
        <f>+E36*$I$7</f>
        <v>960</v>
      </c>
      <c r="F41" s="109"/>
      <c r="G41" s="109"/>
      <c r="H41" s="109"/>
      <c r="I41" s="109"/>
      <c r="J41" s="109"/>
      <c r="K41" s="109"/>
    </row>
    <row r="42" spans="1:12" x14ac:dyDescent="0.25">
      <c r="A42" s="120" t="s">
        <v>203</v>
      </c>
      <c r="B42" s="109">
        <f>+B37*$I$7</f>
        <v>1920</v>
      </c>
      <c r="C42" s="109">
        <f>+C37*$I$7</f>
        <v>1920</v>
      </c>
      <c r="D42" s="109">
        <f>+D37*$I$7</f>
        <v>1920</v>
      </c>
      <c r="E42" s="109">
        <f>+E37*$I$7</f>
        <v>1920</v>
      </c>
      <c r="F42" s="109"/>
      <c r="G42" s="109"/>
      <c r="H42" s="109"/>
      <c r="I42" s="109"/>
      <c r="J42" s="109"/>
      <c r="K42" s="109"/>
    </row>
    <row r="43" spans="1:12" x14ac:dyDescent="0.25">
      <c r="A43" s="173"/>
      <c r="B43" s="174"/>
      <c r="C43" s="109"/>
      <c r="D43" s="109"/>
      <c r="E43" s="109"/>
      <c r="F43" s="109"/>
      <c r="G43" s="173"/>
      <c r="H43" s="109"/>
      <c r="I43" s="109"/>
      <c r="J43" s="109"/>
      <c r="K43" s="109"/>
    </row>
    <row r="44" spans="1:12" x14ac:dyDescent="0.25">
      <c r="A44" s="120"/>
      <c r="B44" s="111"/>
      <c r="C44" s="111"/>
      <c r="D44" s="111"/>
      <c r="E44" s="111"/>
      <c r="F44" s="109"/>
      <c r="G44" s="531"/>
      <c r="H44" s="531"/>
      <c r="I44" s="531"/>
      <c r="J44" s="109"/>
      <c r="K44" s="109"/>
    </row>
    <row r="45" spans="1:12" x14ac:dyDescent="0.25">
      <c r="A45" s="120"/>
      <c r="B45" s="109"/>
      <c r="C45" s="109"/>
      <c r="D45" s="109"/>
      <c r="E45" s="109"/>
      <c r="F45" s="109"/>
      <c r="G45" s="129"/>
      <c r="H45" s="129"/>
      <c r="I45" s="129"/>
      <c r="J45" s="129"/>
      <c r="K45" s="109"/>
      <c r="L45" s="109"/>
    </row>
    <row r="46" spans="1:12" x14ac:dyDescent="0.25">
      <c r="A46" s="120"/>
      <c r="B46" s="109"/>
      <c r="C46" s="109"/>
      <c r="D46" s="109"/>
      <c r="E46" s="109"/>
      <c r="F46" s="109"/>
      <c r="G46" s="129"/>
      <c r="H46" s="129"/>
      <c r="I46" s="129"/>
      <c r="J46" s="129"/>
      <c r="K46" s="109"/>
    </row>
    <row r="47" spans="1:12" x14ac:dyDescent="0.25">
      <c r="A47" s="120"/>
      <c r="B47" s="109"/>
      <c r="C47" s="109"/>
      <c r="D47" s="109"/>
      <c r="E47" s="109"/>
      <c r="F47" s="109"/>
      <c r="G47" s="129"/>
      <c r="H47" s="129"/>
      <c r="I47" s="129"/>
      <c r="J47" s="129"/>
      <c r="K47" s="109"/>
    </row>
    <row r="48" spans="1:12" x14ac:dyDescent="0.25">
      <c r="A48" s="173"/>
      <c r="B48" s="109"/>
      <c r="C48" s="109"/>
      <c r="D48" s="109"/>
      <c r="E48" s="109"/>
      <c r="F48" s="109"/>
      <c r="G48" s="173"/>
      <c r="H48" s="109"/>
      <c r="I48" s="109"/>
      <c r="J48" s="109"/>
      <c r="K48" s="109"/>
    </row>
    <row r="49" spans="1:11" x14ac:dyDescent="0.25">
      <c r="A49" s="109"/>
      <c r="B49" s="121"/>
      <c r="C49" s="121"/>
      <c r="D49" s="109"/>
      <c r="E49" s="109"/>
      <c r="F49" s="109"/>
      <c r="G49" s="109"/>
      <c r="H49" s="109"/>
      <c r="I49" s="109"/>
      <c r="J49" s="109"/>
      <c r="K49" s="109"/>
    </row>
    <row r="50" spans="1:11" x14ac:dyDescent="0.25">
      <c r="A50" s="119" t="s">
        <v>121</v>
      </c>
      <c r="B50" s="125" t="s">
        <v>18</v>
      </c>
      <c r="C50" s="125" t="s">
        <v>19</v>
      </c>
      <c r="D50" s="110" t="s">
        <v>20</v>
      </c>
      <c r="E50" s="110" t="s">
        <v>21</v>
      </c>
      <c r="F50" s="124" t="s">
        <v>120</v>
      </c>
      <c r="G50" s="109"/>
      <c r="H50" s="109"/>
      <c r="I50" s="109"/>
      <c r="J50" s="109"/>
      <c r="K50" s="109"/>
    </row>
    <row r="51" spans="1:11" x14ac:dyDescent="0.25">
      <c r="A51" s="110" t="s">
        <v>15</v>
      </c>
      <c r="B51" s="113">
        <f>+'NOMINA CAMISAS'!C50</f>
        <v>15553161</v>
      </c>
      <c r="C51" s="143">
        <f>+'NOMINA CAMISAS'!D50</f>
        <v>17582442</v>
      </c>
      <c r="D51" s="143">
        <f>+'NOMINA CAMISAS'!E50</f>
        <v>15553161</v>
      </c>
      <c r="E51" s="143">
        <f>+'NOMINA CAMISAS'!F50</f>
        <v>24003031.440000001</v>
      </c>
      <c r="F51" s="114">
        <f>SUM(B51:E51)</f>
        <v>72691795.439999998</v>
      </c>
      <c r="G51" s="109"/>
      <c r="H51" s="109"/>
      <c r="I51" s="109"/>
      <c r="J51" s="109"/>
      <c r="K51" s="109"/>
    </row>
    <row r="52" spans="1:11" x14ac:dyDescent="0.25">
      <c r="A52" s="110" t="s">
        <v>281</v>
      </c>
      <c r="B52" s="113">
        <f>+'NOMINA PANTALONES'!C50</f>
        <v>8262417.6000000006</v>
      </c>
      <c r="C52" s="113">
        <f>+'NOMINA PANTALONES'!D50</f>
        <v>9345271.6000000015</v>
      </c>
      <c r="D52" s="113">
        <f>+'NOMINA PANTALONES'!E50</f>
        <v>8262417.6000000006</v>
      </c>
      <c r="E52" s="113">
        <f>+'NOMINA PANTALONES'!F50</f>
        <v>12750864.560000002</v>
      </c>
      <c r="F52" s="114">
        <f>SUM(B52:E52)</f>
        <v>38620971.360000007</v>
      </c>
      <c r="G52" s="109"/>
      <c r="H52" s="109"/>
      <c r="I52" s="109"/>
      <c r="J52" s="109"/>
      <c r="K52" s="109"/>
    </row>
    <row r="53" spans="1:11" ht="15.75" thickBot="1" x14ac:dyDescent="0.3">
      <c r="A53" s="110" t="s">
        <v>286</v>
      </c>
      <c r="B53" s="126">
        <f>+'NOMINA CHAQUETAS'!C50</f>
        <v>18397152</v>
      </c>
      <c r="C53" s="126">
        <f>+'NOMINA CHAQUETAS'!D50</f>
        <v>20802860</v>
      </c>
      <c r="D53" s="126">
        <f>+'NOMINA CHAQUETAS'!E50</f>
        <v>18397152</v>
      </c>
      <c r="E53" s="126">
        <f>+'NOMINA CHAQUETAS'!F50</f>
        <v>28391645.920000002</v>
      </c>
      <c r="F53" s="114">
        <f>SUM(B53:E53)</f>
        <v>85988809.920000002</v>
      </c>
      <c r="G53" s="109"/>
      <c r="H53" s="109"/>
      <c r="I53" s="109"/>
      <c r="J53" s="109"/>
      <c r="K53" s="109"/>
    </row>
    <row r="54" spans="1:11" x14ac:dyDescent="0.25">
      <c r="A54" s="111" t="s">
        <v>120</v>
      </c>
      <c r="B54" s="113">
        <v>21949797.733298611</v>
      </c>
      <c r="C54" s="113">
        <v>23895595.071869213</v>
      </c>
      <c r="D54" s="113">
        <v>20431796.526614584</v>
      </c>
      <c r="E54" s="113">
        <v>32051462.658509839</v>
      </c>
      <c r="F54" s="127">
        <v>98328651.990292296</v>
      </c>
      <c r="G54" s="116"/>
      <c r="H54" s="116"/>
      <c r="I54" s="109"/>
      <c r="J54" s="109"/>
      <c r="K54" s="109"/>
    </row>
  </sheetData>
  <mergeCells count="2">
    <mergeCell ref="G44:I44"/>
    <mergeCell ref="H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C1B5D-64D3-43F4-9D26-3969FA35B627}">
  <dimension ref="A1:N55"/>
  <sheetViews>
    <sheetView topLeftCell="A19" zoomScale="70" zoomScaleNormal="70" workbookViewId="0">
      <selection activeCell="G46" sqref="G46"/>
    </sheetView>
  </sheetViews>
  <sheetFormatPr baseColWidth="10" defaultRowHeight="15" x14ac:dyDescent="0.25"/>
  <cols>
    <col min="2" max="2" width="37.42578125" customWidth="1"/>
    <col min="3" max="3" width="17.85546875" bestFit="1" customWidth="1"/>
    <col min="4" max="4" width="18.7109375" bestFit="1" customWidth="1"/>
    <col min="5" max="5" width="17.85546875" bestFit="1" customWidth="1"/>
    <col min="6" max="6" width="18.7109375" bestFit="1" customWidth="1"/>
    <col min="7" max="7" width="18" customWidth="1"/>
    <col min="8" max="8" width="17.5703125" customWidth="1"/>
    <col min="9" max="9" width="16.140625" customWidth="1"/>
    <col min="10" max="10" width="16.28515625" customWidth="1"/>
    <col min="11" max="11" width="19.140625" customWidth="1"/>
    <col min="12" max="12" width="20.140625" customWidth="1"/>
    <col min="13" max="13" width="21.85546875" customWidth="1"/>
    <col min="14" max="14" width="18" customWidth="1"/>
  </cols>
  <sheetData>
    <row r="1" spans="1:14" ht="24" customHeight="1" x14ac:dyDescent="0.25">
      <c r="A1" s="542" t="s">
        <v>298</v>
      </c>
      <c r="B1" s="542"/>
      <c r="C1" s="542"/>
      <c r="E1" s="541"/>
      <c r="F1" s="541"/>
      <c r="G1" s="541"/>
    </row>
    <row r="3" spans="1:14" x14ac:dyDescent="0.25">
      <c r="B3" s="19" t="s">
        <v>69</v>
      </c>
      <c r="C3" s="20">
        <v>1250000</v>
      </c>
    </row>
    <row r="4" spans="1:14" x14ac:dyDescent="0.25">
      <c r="B4" s="19" t="s">
        <v>70</v>
      </c>
      <c r="C4" s="20">
        <v>102854</v>
      </c>
      <c r="D4" s="24">
        <v>102854</v>
      </c>
    </row>
    <row r="5" spans="1:14" x14ac:dyDescent="0.25">
      <c r="B5" s="19" t="s">
        <v>71</v>
      </c>
      <c r="C5" s="21">
        <f>$C$3/160</f>
        <v>7812.5</v>
      </c>
    </row>
    <row r="6" spans="1:14" x14ac:dyDescent="0.25">
      <c r="B6" s="22" t="s">
        <v>72</v>
      </c>
      <c r="C6" s="23">
        <f>($C$3/160)*0.25</f>
        <v>1953.125</v>
      </c>
    </row>
    <row r="7" spans="1:14" x14ac:dyDescent="0.25">
      <c r="B7" s="22" t="s">
        <v>73</v>
      </c>
      <c r="C7" s="23">
        <f>($C$3/240)*1.25</f>
        <v>6510.4166666666661</v>
      </c>
    </row>
    <row r="8" spans="1:14" x14ac:dyDescent="0.25">
      <c r="B8" s="15"/>
      <c r="C8" s="24"/>
    </row>
    <row r="9" spans="1:14" x14ac:dyDescent="0.25">
      <c r="C9" s="25" t="s">
        <v>74</v>
      </c>
      <c r="D9" s="19" t="s">
        <v>75</v>
      </c>
      <c r="E9" s="25" t="s">
        <v>76</v>
      </c>
      <c r="F9" s="19" t="s">
        <v>77</v>
      </c>
      <c r="G9" s="25" t="s">
        <v>78</v>
      </c>
      <c r="H9" s="19" t="s">
        <v>79</v>
      </c>
      <c r="I9" s="43" t="s">
        <v>80</v>
      </c>
      <c r="J9" s="44" t="s">
        <v>81</v>
      </c>
      <c r="K9" s="25" t="s">
        <v>82</v>
      </c>
      <c r="L9" s="45" t="s">
        <v>83</v>
      </c>
      <c r="M9" s="25" t="s">
        <v>84</v>
      </c>
      <c r="N9" s="19" t="s">
        <v>65</v>
      </c>
    </row>
    <row r="10" spans="1:14" x14ac:dyDescent="0.25">
      <c r="B10" s="22" t="s">
        <v>85</v>
      </c>
      <c r="C10" s="1"/>
      <c r="D10" s="1"/>
      <c r="E10" s="1"/>
      <c r="F10" s="1"/>
      <c r="G10" s="151"/>
      <c r="H10" s="151"/>
      <c r="I10" s="1"/>
      <c r="J10" s="151"/>
      <c r="K10" s="151"/>
      <c r="L10" s="1"/>
      <c r="M10" s="151"/>
      <c r="N10" s="151"/>
    </row>
    <row r="11" spans="1:14" x14ac:dyDescent="0.25">
      <c r="A11" s="545" t="s">
        <v>86</v>
      </c>
      <c r="B11" s="39" t="s">
        <v>87</v>
      </c>
      <c r="C11" s="21">
        <f>$C$3</f>
        <v>1250000</v>
      </c>
      <c r="D11" s="21">
        <f t="shared" ref="D11:N11" si="0">$C$3</f>
        <v>1250000</v>
      </c>
      <c r="E11" s="21">
        <f t="shared" si="0"/>
        <v>1250000</v>
      </c>
      <c r="F11" s="21">
        <f t="shared" si="0"/>
        <v>1250000</v>
      </c>
      <c r="G11" s="21">
        <f t="shared" si="0"/>
        <v>1250000</v>
      </c>
      <c r="H11" s="21">
        <f t="shared" si="0"/>
        <v>1250000</v>
      </c>
      <c r="I11" s="21">
        <f t="shared" si="0"/>
        <v>1250000</v>
      </c>
      <c r="J11" s="21">
        <f t="shared" si="0"/>
        <v>1250000</v>
      </c>
      <c r="K11" s="21">
        <f t="shared" si="0"/>
        <v>1250000</v>
      </c>
      <c r="L11" s="21">
        <f t="shared" si="0"/>
        <v>1250000</v>
      </c>
      <c r="M11" s="21">
        <f t="shared" si="0"/>
        <v>1250000</v>
      </c>
      <c r="N11" s="21">
        <f t="shared" si="0"/>
        <v>1250000</v>
      </c>
    </row>
    <row r="12" spans="1:14" x14ac:dyDescent="0.25">
      <c r="A12" s="545"/>
      <c r="B12" s="39" t="s">
        <v>88</v>
      </c>
      <c r="C12" s="21">
        <f>+C4</f>
        <v>102854</v>
      </c>
      <c r="D12" s="21">
        <v>102854</v>
      </c>
      <c r="E12" s="21">
        <v>102854</v>
      </c>
      <c r="F12" s="21">
        <v>102854</v>
      </c>
      <c r="G12" s="21">
        <v>102854</v>
      </c>
      <c r="H12" s="21">
        <v>102854</v>
      </c>
      <c r="I12" s="21">
        <v>102854</v>
      </c>
      <c r="J12" s="21">
        <v>102854</v>
      </c>
      <c r="K12" s="21">
        <v>102854</v>
      </c>
      <c r="L12" s="21">
        <v>102854</v>
      </c>
      <c r="M12" s="21">
        <v>102854</v>
      </c>
      <c r="N12" s="21">
        <v>102854</v>
      </c>
    </row>
    <row r="13" spans="1:14" x14ac:dyDescent="0.25">
      <c r="A13" s="545"/>
      <c r="B13" s="39" t="s">
        <v>89</v>
      </c>
      <c r="C13" s="21">
        <f>$C$7*C10</f>
        <v>0</v>
      </c>
      <c r="D13" s="21">
        <f t="shared" ref="D13:N13" si="1">$C$7*D10</f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21">
        <f t="shared" si="1"/>
        <v>0</v>
      </c>
    </row>
    <row r="14" spans="1:14" x14ac:dyDescent="0.25">
      <c r="A14" s="545"/>
      <c r="B14" s="39" t="s">
        <v>90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x14ac:dyDescent="0.25">
      <c r="A15" s="545"/>
      <c r="B15" s="39" t="s">
        <v>91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x14ac:dyDescent="0.25">
      <c r="B16" s="1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25">
      <c r="A17" s="15" t="s">
        <v>92</v>
      </c>
      <c r="B17" s="19" t="s">
        <v>93</v>
      </c>
      <c r="C17" s="26">
        <f>C11+C12+C13+C14+C15</f>
        <v>1352854</v>
      </c>
      <c r="D17" s="26">
        <f t="shared" ref="D17:N17" si="2">D11+D12+D13+D14+D15</f>
        <v>1352854</v>
      </c>
      <c r="E17" s="26">
        <f t="shared" si="2"/>
        <v>1352854</v>
      </c>
      <c r="F17" s="26">
        <f t="shared" si="2"/>
        <v>1352854</v>
      </c>
      <c r="G17" s="26">
        <f t="shared" si="2"/>
        <v>1352854</v>
      </c>
      <c r="H17" s="26">
        <f t="shared" si="2"/>
        <v>1352854</v>
      </c>
      <c r="I17" s="26">
        <f t="shared" si="2"/>
        <v>1352854</v>
      </c>
      <c r="J17" s="26">
        <f t="shared" si="2"/>
        <v>1352854</v>
      </c>
      <c r="K17" s="26">
        <f t="shared" si="2"/>
        <v>1352854</v>
      </c>
      <c r="L17" s="26">
        <f t="shared" si="2"/>
        <v>1352854</v>
      </c>
      <c r="M17" s="26">
        <f t="shared" si="2"/>
        <v>1352854</v>
      </c>
      <c r="N17" s="26">
        <f t="shared" si="2"/>
        <v>1352854</v>
      </c>
    </row>
    <row r="18" spans="1:14" ht="30" x14ac:dyDescent="0.25">
      <c r="A18" s="15"/>
      <c r="B18" s="27" t="s">
        <v>94</v>
      </c>
      <c r="C18" s="26">
        <f>C17-C12</f>
        <v>1250000</v>
      </c>
      <c r="D18" s="26">
        <f t="shared" ref="D18:N18" si="3">D17-D12</f>
        <v>1250000</v>
      </c>
      <c r="E18" s="26">
        <f t="shared" si="3"/>
        <v>1250000</v>
      </c>
      <c r="F18" s="26">
        <f t="shared" si="3"/>
        <v>1250000</v>
      </c>
      <c r="G18" s="26">
        <f t="shared" si="3"/>
        <v>1250000</v>
      </c>
      <c r="H18" s="26">
        <f t="shared" si="3"/>
        <v>1250000</v>
      </c>
      <c r="I18" s="26">
        <f t="shared" si="3"/>
        <v>1250000</v>
      </c>
      <c r="J18" s="26">
        <f t="shared" si="3"/>
        <v>1250000</v>
      </c>
      <c r="K18" s="26">
        <f t="shared" si="3"/>
        <v>1250000</v>
      </c>
      <c r="L18" s="26">
        <f t="shared" si="3"/>
        <v>1250000</v>
      </c>
      <c r="M18" s="26">
        <f t="shared" si="3"/>
        <v>1250000</v>
      </c>
      <c r="N18" s="26">
        <f t="shared" si="3"/>
        <v>1250000</v>
      </c>
    </row>
    <row r="19" spans="1:14" x14ac:dyDescent="0.25">
      <c r="A19" s="40" t="s">
        <v>95</v>
      </c>
      <c r="B19" s="40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x14ac:dyDescent="0.25">
      <c r="A20" s="17"/>
      <c r="B20" s="41" t="s">
        <v>96</v>
      </c>
      <c r="C20" s="28">
        <f>$C$18*0.04</f>
        <v>50000</v>
      </c>
      <c r="D20" s="28">
        <f>D18*0.04</f>
        <v>50000</v>
      </c>
      <c r="E20" s="28">
        <f t="shared" ref="E20:M20" si="4">E18*0.04</f>
        <v>50000</v>
      </c>
      <c r="F20" s="28">
        <f t="shared" si="4"/>
        <v>50000</v>
      </c>
      <c r="G20" s="28">
        <f t="shared" si="4"/>
        <v>50000</v>
      </c>
      <c r="H20" s="28">
        <f t="shared" si="4"/>
        <v>50000</v>
      </c>
      <c r="I20" s="28">
        <f t="shared" si="4"/>
        <v>50000</v>
      </c>
      <c r="J20" s="28">
        <f t="shared" si="4"/>
        <v>50000</v>
      </c>
      <c r="K20" s="28">
        <f t="shared" si="4"/>
        <v>50000</v>
      </c>
      <c r="L20" s="28">
        <f t="shared" si="4"/>
        <v>50000</v>
      </c>
      <c r="M20" s="28">
        <f t="shared" si="4"/>
        <v>50000</v>
      </c>
      <c r="N20" s="28">
        <f>N18*0.04</f>
        <v>50000</v>
      </c>
    </row>
    <row r="21" spans="1:14" x14ac:dyDescent="0.25">
      <c r="A21" s="17"/>
      <c r="B21" s="41" t="s">
        <v>97</v>
      </c>
      <c r="C21" s="26">
        <f>C18*0.085</f>
        <v>106250.00000000001</v>
      </c>
      <c r="D21" s="26">
        <f t="shared" ref="D21:M21" si="5">D18*0.085</f>
        <v>106250.00000000001</v>
      </c>
      <c r="E21" s="26">
        <f t="shared" si="5"/>
        <v>106250.00000000001</v>
      </c>
      <c r="F21" s="26">
        <f t="shared" si="5"/>
        <v>106250.00000000001</v>
      </c>
      <c r="G21" s="26">
        <f t="shared" si="5"/>
        <v>106250.00000000001</v>
      </c>
      <c r="H21" s="26">
        <f t="shared" si="5"/>
        <v>106250.00000000001</v>
      </c>
      <c r="I21" s="26">
        <f t="shared" si="5"/>
        <v>106250.00000000001</v>
      </c>
      <c r="J21" s="26">
        <f t="shared" si="5"/>
        <v>106250.00000000001</v>
      </c>
      <c r="K21" s="26">
        <f t="shared" si="5"/>
        <v>106250.00000000001</v>
      </c>
      <c r="L21" s="26">
        <f t="shared" si="5"/>
        <v>106250.00000000001</v>
      </c>
      <c r="M21" s="26">
        <f t="shared" si="5"/>
        <v>106250.00000000001</v>
      </c>
      <c r="N21" s="26">
        <f>N18*0.085</f>
        <v>106250.00000000001</v>
      </c>
    </row>
    <row r="22" spans="1:14" x14ac:dyDescent="0.25">
      <c r="A22" s="17" t="s">
        <v>98</v>
      </c>
      <c r="B22" s="4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x14ac:dyDescent="0.25">
      <c r="A23" s="17"/>
      <c r="B23" s="41" t="s">
        <v>96</v>
      </c>
      <c r="C23" s="28">
        <f>C18*0.04</f>
        <v>50000</v>
      </c>
      <c r="D23" s="28">
        <f t="shared" ref="D23:N23" si="6">D18*0.04</f>
        <v>50000</v>
      </c>
      <c r="E23" s="28">
        <f t="shared" si="6"/>
        <v>50000</v>
      </c>
      <c r="F23" s="28">
        <f t="shared" si="6"/>
        <v>50000</v>
      </c>
      <c r="G23" s="28">
        <f t="shared" si="6"/>
        <v>50000</v>
      </c>
      <c r="H23" s="28">
        <f t="shared" si="6"/>
        <v>50000</v>
      </c>
      <c r="I23" s="28">
        <f t="shared" si="6"/>
        <v>50000</v>
      </c>
      <c r="J23" s="28">
        <f t="shared" si="6"/>
        <v>50000</v>
      </c>
      <c r="K23" s="28">
        <f t="shared" si="6"/>
        <v>50000</v>
      </c>
      <c r="L23" s="28">
        <f t="shared" si="6"/>
        <v>50000</v>
      </c>
      <c r="M23" s="28">
        <f t="shared" si="6"/>
        <v>50000</v>
      </c>
      <c r="N23" s="28">
        <f t="shared" si="6"/>
        <v>50000</v>
      </c>
    </row>
    <row r="24" spans="1:14" x14ac:dyDescent="0.25">
      <c r="A24" s="17"/>
      <c r="B24" s="41" t="s">
        <v>97</v>
      </c>
      <c r="C24" s="26">
        <f>C18*0.12</f>
        <v>150000</v>
      </c>
      <c r="D24" s="26">
        <f t="shared" ref="D24:N24" si="7">D18*0.12</f>
        <v>150000</v>
      </c>
      <c r="E24" s="26">
        <f t="shared" si="7"/>
        <v>150000</v>
      </c>
      <c r="F24" s="26">
        <f t="shared" si="7"/>
        <v>150000</v>
      </c>
      <c r="G24" s="26">
        <f t="shared" si="7"/>
        <v>150000</v>
      </c>
      <c r="H24" s="26">
        <f t="shared" si="7"/>
        <v>150000</v>
      </c>
      <c r="I24" s="26">
        <f t="shared" si="7"/>
        <v>150000</v>
      </c>
      <c r="J24" s="26">
        <f t="shared" si="7"/>
        <v>150000</v>
      </c>
      <c r="K24" s="26">
        <f t="shared" si="7"/>
        <v>150000</v>
      </c>
      <c r="L24" s="26">
        <f t="shared" si="7"/>
        <v>150000</v>
      </c>
      <c r="M24" s="26">
        <f t="shared" si="7"/>
        <v>150000</v>
      </c>
      <c r="N24" s="26">
        <f t="shared" si="7"/>
        <v>150000</v>
      </c>
    </row>
    <row r="25" spans="1:14" x14ac:dyDescent="0.25">
      <c r="A25" s="17"/>
      <c r="B25" s="1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x14ac:dyDescent="0.25">
      <c r="A26" s="17" t="s">
        <v>99</v>
      </c>
      <c r="B26" s="17" t="s">
        <v>100</v>
      </c>
      <c r="C26" s="26">
        <f>C18*0.522%</f>
        <v>6525</v>
      </c>
      <c r="D26" s="26">
        <f t="shared" ref="D26:N26" si="8">D18*0.522%</f>
        <v>6525</v>
      </c>
      <c r="E26" s="26">
        <f t="shared" si="8"/>
        <v>6525</v>
      </c>
      <c r="F26" s="26">
        <f t="shared" si="8"/>
        <v>6525</v>
      </c>
      <c r="G26" s="26">
        <f t="shared" si="8"/>
        <v>6525</v>
      </c>
      <c r="H26" s="26">
        <f t="shared" si="8"/>
        <v>6525</v>
      </c>
      <c r="I26" s="26">
        <f t="shared" si="8"/>
        <v>6525</v>
      </c>
      <c r="J26" s="26">
        <f t="shared" si="8"/>
        <v>6525</v>
      </c>
      <c r="K26" s="26">
        <f t="shared" si="8"/>
        <v>6525</v>
      </c>
      <c r="L26" s="26">
        <f t="shared" si="8"/>
        <v>6525</v>
      </c>
      <c r="M26" s="26">
        <f t="shared" si="8"/>
        <v>6525</v>
      </c>
      <c r="N26" s="26">
        <f t="shared" si="8"/>
        <v>6525</v>
      </c>
    </row>
    <row r="27" spans="1:14" x14ac:dyDescent="0.25">
      <c r="A27" s="17"/>
      <c r="B27" s="1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x14ac:dyDescent="0.25">
      <c r="A28" s="546" t="s">
        <v>101</v>
      </c>
      <c r="B28" s="54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x14ac:dyDescent="0.25">
      <c r="A29" s="548" t="s">
        <v>102</v>
      </c>
      <c r="B29" s="549"/>
      <c r="C29" s="26">
        <f>C18*0.02</f>
        <v>25000</v>
      </c>
      <c r="D29" s="26">
        <f t="shared" ref="D29:N29" si="9">D18*0.02</f>
        <v>25000</v>
      </c>
      <c r="E29" s="26">
        <f t="shared" si="9"/>
        <v>25000</v>
      </c>
      <c r="F29" s="26">
        <f t="shared" si="9"/>
        <v>25000</v>
      </c>
      <c r="G29" s="26">
        <f t="shared" si="9"/>
        <v>25000</v>
      </c>
      <c r="H29" s="26">
        <f t="shared" si="9"/>
        <v>25000</v>
      </c>
      <c r="I29" s="26">
        <f t="shared" si="9"/>
        <v>25000</v>
      </c>
      <c r="J29" s="26">
        <f t="shared" si="9"/>
        <v>25000</v>
      </c>
      <c r="K29" s="26">
        <f t="shared" si="9"/>
        <v>25000</v>
      </c>
      <c r="L29" s="26">
        <f t="shared" si="9"/>
        <v>25000</v>
      </c>
      <c r="M29" s="26">
        <f t="shared" si="9"/>
        <v>25000</v>
      </c>
      <c r="N29" s="26">
        <f t="shared" si="9"/>
        <v>25000</v>
      </c>
    </row>
    <row r="30" spans="1:14" x14ac:dyDescent="0.25">
      <c r="A30" s="548" t="s">
        <v>103</v>
      </c>
      <c r="B30" s="549"/>
      <c r="C30" s="26">
        <f>C18*0.03</f>
        <v>37500</v>
      </c>
      <c r="D30" s="26">
        <f t="shared" ref="D30:N30" si="10">D18*0.03</f>
        <v>37500</v>
      </c>
      <c r="E30" s="26">
        <f t="shared" si="10"/>
        <v>37500</v>
      </c>
      <c r="F30" s="26">
        <f t="shared" si="10"/>
        <v>37500</v>
      </c>
      <c r="G30" s="26">
        <f t="shared" si="10"/>
        <v>37500</v>
      </c>
      <c r="H30" s="26">
        <f t="shared" si="10"/>
        <v>37500</v>
      </c>
      <c r="I30" s="26">
        <f t="shared" si="10"/>
        <v>37500</v>
      </c>
      <c r="J30" s="26">
        <f t="shared" si="10"/>
        <v>37500</v>
      </c>
      <c r="K30" s="26">
        <f t="shared" si="10"/>
        <v>37500</v>
      </c>
      <c r="L30" s="26">
        <f t="shared" si="10"/>
        <v>37500</v>
      </c>
      <c r="M30" s="26">
        <f t="shared" si="10"/>
        <v>37500</v>
      </c>
      <c r="N30" s="26">
        <f t="shared" si="10"/>
        <v>37500</v>
      </c>
    </row>
    <row r="31" spans="1:14" x14ac:dyDescent="0.25">
      <c r="A31" s="550" t="s">
        <v>104</v>
      </c>
      <c r="B31" s="551"/>
      <c r="C31" s="26">
        <f>C18*4%</f>
        <v>50000</v>
      </c>
      <c r="D31" s="26">
        <f t="shared" ref="D31:N31" si="11">D18*4%</f>
        <v>50000</v>
      </c>
      <c r="E31" s="26">
        <f t="shared" si="11"/>
        <v>50000</v>
      </c>
      <c r="F31" s="26">
        <f t="shared" si="11"/>
        <v>50000</v>
      </c>
      <c r="G31" s="26">
        <f t="shared" si="11"/>
        <v>50000</v>
      </c>
      <c r="H31" s="26">
        <f t="shared" si="11"/>
        <v>50000</v>
      </c>
      <c r="I31" s="26">
        <f t="shared" si="11"/>
        <v>50000</v>
      </c>
      <c r="J31" s="26">
        <f t="shared" si="11"/>
        <v>50000</v>
      </c>
      <c r="K31" s="26">
        <f t="shared" si="11"/>
        <v>50000</v>
      </c>
      <c r="L31" s="26">
        <f t="shared" si="11"/>
        <v>50000</v>
      </c>
      <c r="M31" s="26">
        <f t="shared" si="11"/>
        <v>50000</v>
      </c>
      <c r="N31" s="26">
        <f t="shared" si="11"/>
        <v>50000</v>
      </c>
    </row>
    <row r="32" spans="1:14" x14ac:dyDescent="0.25">
      <c r="A32" s="539" t="s">
        <v>105</v>
      </c>
      <c r="B32" s="540"/>
      <c r="C32" s="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533" t="s">
        <v>106</v>
      </c>
      <c r="B33" s="533"/>
      <c r="C33" s="29">
        <f>C17*(25/3)%</f>
        <v>112737.83333333334</v>
      </c>
      <c r="D33" s="29">
        <f t="shared" ref="D33:K33" si="12">D17*(25/3)%</f>
        <v>112737.83333333334</v>
      </c>
      <c r="E33" s="29">
        <f t="shared" si="12"/>
        <v>112737.83333333334</v>
      </c>
      <c r="F33" s="29">
        <f t="shared" si="12"/>
        <v>112737.83333333334</v>
      </c>
      <c r="G33" s="29">
        <f t="shared" si="12"/>
        <v>112737.83333333334</v>
      </c>
      <c r="H33" s="29">
        <f t="shared" si="12"/>
        <v>112737.83333333334</v>
      </c>
      <c r="I33" s="29">
        <f t="shared" si="12"/>
        <v>112737.83333333334</v>
      </c>
      <c r="J33" s="29">
        <f t="shared" si="12"/>
        <v>112737.83333333334</v>
      </c>
      <c r="K33" s="29">
        <f t="shared" si="12"/>
        <v>112737.83333333334</v>
      </c>
      <c r="L33" s="29">
        <f>L17*(25/3)%</f>
        <v>112737.83333333334</v>
      </c>
      <c r="M33" s="29">
        <f t="shared" ref="M33:N33" si="13">M17*(25/3)%</f>
        <v>112737.83333333334</v>
      </c>
      <c r="N33" s="29">
        <f t="shared" si="13"/>
        <v>112737.83333333334</v>
      </c>
    </row>
    <row r="34" spans="1:14" x14ac:dyDescent="0.25">
      <c r="A34" s="534" t="s">
        <v>107</v>
      </c>
      <c r="B34" s="535"/>
      <c r="C34" s="29">
        <f>C17*(25/3)%</f>
        <v>112737.83333333334</v>
      </c>
      <c r="D34" s="29">
        <f t="shared" ref="D34:N34" si="14">D17*(25/3)%</f>
        <v>112737.83333333334</v>
      </c>
      <c r="E34" s="29">
        <f t="shared" si="14"/>
        <v>112737.83333333334</v>
      </c>
      <c r="F34" s="29">
        <f t="shared" si="14"/>
        <v>112737.83333333334</v>
      </c>
      <c r="G34" s="29">
        <f t="shared" si="14"/>
        <v>112737.83333333334</v>
      </c>
      <c r="H34" s="29">
        <f t="shared" si="14"/>
        <v>112737.83333333334</v>
      </c>
      <c r="I34" s="29">
        <f t="shared" si="14"/>
        <v>112737.83333333334</v>
      </c>
      <c r="J34" s="29">
        <f t="shared" si="14"/>
        <v>112737.83333333334</v>
      </c>
      <c r="K34" s="29">
        <f t="shared" si="14"/>
        <v>112737.83333333334</v>
      </c>
      <c r="L34" s="29">
        <f t="shared" si="14"/>
        <v>112737.83333333334</v>
      </c>
      <c r="M34" s="29">
        <f t="shared" si="14"/>
        <v>112737.83333333334</v>
      </c>
      <c r="N34" s="29">
        <f t="shared" si="14"/>
        <v>112737.83333333334</v>
      </c>
    </row>
    <row r="35" spans="1:14" x14ac:dyDescent="0.25">
      <c r="A35" s="533" t="s">
        <v>108</v>
      </c>
      <c r="B35" s="533"/>
      <c r="C35" s="30">
        <f>C34*(12%)</f>
        <v>13528.54</v>
      </c>
      <c r="D35" s="30">
        <f t="shared" ref="D35:N35" si="15">D34*(12%)</f>
        <v>13528.54</v>
      </c>
      <c r="E35" s="30">
        <f t="shared" si="15"/>
        <v>13528.54</v>
      </c>
      <c r="F35" s="30">
        <f t="shared" si="15"/>
        <v>13528.54</v>
      </c>
      <c r="G35" s="30">
        <f t="shared" si="15"/>
        <v>13528.54</v>
      </c>
      <c r="H35" s="30">
        <f t="shared" si="15"/>
        <v>13528.54</v>
      </c>
      <c r="I35" s="30">
        <f t="shared" si="15"/>
        <v>13528.54</v>
      </c>
      <c r="J35" s="30">
        <f t="shared" si="15"/>
        <v>13528.54</v>
      </c>
      <c r="K35" s="30">
        <f t="shared" si="15"/>
        <v>13528.54</v>
      </c>
      <c r="L35" s="30">
        <f t="shared" si="15"/>
        <v>13528.54</v>
      </c>
      <c r="M35" s="30">
        <f t="shared" si="15"/>
        <v>13528.54</v>
      </c>
      <c r="N35" s="30">
        <f t="shared" si="15"/>
        <v>13528.54</v>
      </c>
    </row>
    <row r="36" spans="1:14" x14ac:dyDescent="0.25">
      <c r="A36" s="536" t="s">
        <v>109</v>
      </c>
      <c r="B36" s="536"/>
      <c r="C36" s="26">
        <f>C11*(25/6)%</f>
        <v>52083.333333333336</v>
      </c>
      <c r="D36" s="26">
        <f t="shared" ref="D36:N36" si="16">D11*(25/6)%</f>
        <v>52083.333333333336</v>
      </c>
      <c r="E36" s="26">
        <f t="shared" si="16"/>
        <v>52083.333333333336</v>
      </c>
      <c r="F36" s="26">
        <f t="shared" si="16"/>
        <v>52083.333333333336</v>
      </c>
      <c r="G36" s="26">
        <f t="shared" si="16"/>
        <v>52083.333333333336</v>
      </c>
      <c r="H36" s="26">
        <f t="shared" si="16"/>
        <v>52083.333333333336</v>
      </c>
      <c r="I36" s="26">
        <f t="shared" si="16"/>
        <v>52083.333333333336</v>
      </c>
      <c r="J36" s="26">
        <f t="shared" si="16"/>
        <v>52083.333333333336</v>
      </c>
      <c r="K36" s="26">
        <f t="shared" si="16"/>
        <v>52083.333333333336</v>
      </c>
      <c r="L36" s="26">
        <f t="shared" si="16"/>
        <v>52083.333333333336</v>
      </c>
      <c r="M36" s="26">
        <f t="shared" si="16"/>
        <v>52083.333333333336</v>
      </c>
      <c r="N36" s="26">
        <f t="shared" si="16"/>
        <v>52083.333333333336</v>
      </c>
    </row>
    <row r="37" spans="1:14" x14ac:dyDescent="0.25">
      <c r="A37" s="31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 x14ac:dyDescent="0.25">
      <c r="A38" s="537" t="s">
        <v>110</v>
      </c>
      <c r="B38" s="537"/>
      <c r="C38" s="21">
        <f t="shared" ref="C38:N38" si="17">C17-C20-C23</f>
        <v>1252854</v>
      </c>
      <c r="D38" s="21">
        <f t="shared" si="17"/>
        <v>1252854</v>
      </c>
      <c r="E38" s="21">
        <f t="shared" si="17"/>
        <v>1252854</v>
      </c>
      <c r="F38" s="21">
        <f t="shared" si="17"/>
        <v>1252854</v>
      </c>
      <c r="G38" s="21">
        <f t="shared" si="17"/>
        <v>1252854</v>
      </c>
      <c r="H38" s="21">
        <f t="shared" si="17"/>
        <v>1252854</v>
      </c>
      <c r="I38" s="21">
        <f t="shared" si="17"/>
        <v>1252854</v>
      </c>
      <c r="J38" s="21">
        <f t="shared" si="17"/>
        <v>1252854</v>
      </c>
      <c r="K38" s="21">
        <f t="shared" si="17"/>
        <v>1252854</v>
      </c>
      <c r="L38" s="21">
        <f t="shared" si="17"/>
        <v>1252854</v>
      </c>
      <c r="M38" s="21">
        <f t="shared" si="17"/>
        <v>1252854</v>
      </c>
      <c r="N38" s="21">
        <f t="shared" si="17"/>
        <v>1252854</v>
      </c>
    </row>
    <row r="39" spans="1:14" x14ac:dyDescent="0.25">
      <c r="A39" s="538" t="s">
        <v>111</v>
      </c>
      <c r="B39" s="538"/>
      <c r="C39" s="46">
        <f t="shared" ref="C39:N39" si="18">C33+C34+C35+C36+C29+C30+C26+C17+C24+C21+C31</f>
        <v>2019216.54</v>
      </c>
      <c r="D39" s="46">
        <f t="shared" si="18"/>
        <v>2019216.54</v>
      </c>
      <c r="E39" s="46">
        <f t="shared" si="18"/>
        <v>2019216.54</v>
      </c>
      <c r="F39" s="46">
        <f t="shared" si="18"/>
        <v>2019216.54</v>
      </c>
      <c r="G39" s="46">
        <f t="shared" si="18"/>
        <v>2019216.54</v>
      </c>
      <c r="H39" s="46">
        <f t="shared" si="18"/>
        <v>2019216.54</v>
      </c>
      <c r="I39" s="46">
        <f t="shared" si="18"/>
        <v>2019216.54</v>
      </c>
      <c r="J39" s="46">
        <f t="shared" si="18"/>
        <v>2019216.54</v>
      </c>
      <c r="K39" s="46">
        <f t="shared" si="18"/>
        <v>2019216.54</v>
      </c>
      <c r="L39" s="46">
        <f t="shared" si="18"/>
        <v>2019216.54</v>
      </c>
      <c r="M39" s="46">
        <f t="shared" si="18"/>
        <v>2019216.54</v>
      </c>
      <c r="N39" s="46">
        <f t="shared" si="18"/>
        <v>2019216.54</v>
      </c>
    </row>
    <row r="40" spans="1:14" x14ac:dyDescent="0.25">
      <c r="A40" s="543" t="s">
        <v>112</v>
      </c>
      <c r="B40" s="544"/>
      <c r="C40" s="33">
        <f t="shared" ref="C40:N40" si="19">C21+C26+C31+C29+C30+C17+C24</f>
        <v>1728129</v>
      </c>
      <c r="D40" s="33">
        <f t="shared" si="19"/>
        <v>1728129</v>
      </c>
      <c r="E40" s="33">
        <f t="shared" si="19"/>
        <v>1728129</v>
      </c>
      <c r="F40" s="33">
        <f t="shared" si="19"/>
        <v>1728129</v>
      </c>
      <c r="G40" s="33">
        <f t="shared" si="19"/>
        <v>1728129</v>
      </c>
      <c r="H40" s="33">
        <f t="shared" si="19"/>
        <v>1728129</v>
      </c>
      <c r="I40" s="33">
        <f t="shared" si="19"/>
        <v>1728129</v>
      </c>
      <c r="J40" s="33">
        <f t="shared" si="19"/>
        <v>1728129</v>
      </c>
      <c r="K40" s="33">
        <f t="shared" si="19"/>
        <v>1728129</v>
      </c>
      <c r="L40" s="33">
        <f t="shared" si="19"/>
        <v>1728129</v>
      </c>
      <c r="M40" s="33">
        <f t="shared" si="19"/>
        <v>1728129</v>
      </c>
      <c r="N40" s="33">
        <f t="shared" si="19"/>
        <v>1728129</v>
      </c>
    </row>
    <row r="41" spans="1:14" x14ac:dyDescent="0.25">
      <c r="A41" s="532" t="s">
        <v>113</v>
      </c>
      <c r="B41" s="532"/>
      <c r="C41" s="1">
        <f>+'TIEMPOS REQUERIDOS'!B35</f>
        <v>3</v>
      </c>
      <c r="D41" s="1">
        <f>+C41</f>
        <v>3</v>
      </c>
      <c r="E41" s="1">
        <f>+D41</f>
        <v>3</v>
      </c>
      <c r="F41" s="1">
        <f>+'TIEMPOS REQUERIDOS'!C35</f>
        <v>3</v>
      </c>
      <c r="G41" s="1">
        <f>+F41</f>
        <v>3</v>
      </c>
      <c r="H41" s="1">
        <f>+G41</f>
        <v>3</v>
      </c>
      <c r="I41" s="1">
        <f>+'TIEMPOS REQUERIDOS'!D35</f>
        <v>3</v>
      </c>
      <c r="J41" s="1">
        <f>+I41</f>
        <v>3</v>
      </c>
      <c r="K41" s="1">
        <f>+J41</f>
        <v>3</v>
      </c>
      <c r="L41" s="1">
        <f>+'TIEMPOS REQUERIDOS'!E35</f>
        <v>3</v>
      </c>
      <c r="M41" s="1">
        <f>+L41</f>
        <v>3</v>
      </c>
      <c r="N41" s="1">
        <f>+M41</f>
        <v>3</v>
      </c>
    </row>
    <row r="42" spans="1:14" x14ac:dyDescent="0.25">
      <c r="A42" s="532" t="s">
        <v>114</v>
      </c>
      <c r="B42" s="532"/>
      <c r="C42" s="33">
        <f>C40*C41</f>
        <v>5184387</v>
      </c>
      <c r="D42" s="33">
        <f t="shared" ref="D42:N42" si="20">D40*D41</f>
        <v>5184387</v>
      </c>
      <c r="E42" s="33">
        <f t="shared" si="20"/>
        <v>5184387</v>
      </c>
      <c r="F42" s="33">
        <f t="shared" si="20"/>
        <v>5184387</v>
      </c>
      <c r="G42" s="33">
        <f t="shared" si="20"/>
        <v>5184387</v>
      </c>
      <c r="H42" s="33">
        <f t="shared" si="20"/>
        <v>5184387</v>
      </c>
      <c r="I42" s="33">
        <f t="shared" si="20"/>
        <v>5184387</v>
      </c>
      <c r="J42" s="33">
        <f t="shared" si="20"/>
        <v>5184387</v>
      </c>
      <c r="K42" s="33">
        <f t="shared" si="20"/>
        <v>5184387</v>
      </c>
      <c r="L42" s="33">
        <f t="shared" si="20"/>
        <v>5184387</v>
      </c>
      <c r="M42" s="33">
        <f t="shared" si="20"/>
        <v>5184387</v>
      </c>
      <c r="N42" s="33">
        <f t="shared" si="20"/>
        <v>5184387</v>
      </c>
    </row>
    <row r="43" spans="1:14" x14ac:dyDescent="0.25">
      <c r="A43" s="34"/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4" x14ac:dyDescent="0.25">
      <c r="A44" s="34"/>
      <c r="B44" s="34"/>
      <c r="C44" s="54" t="s">
        <v>18</v>
      </c>
      <c r="D44" s="62" t="s">
        <v>19</v>
      </c>
      <c r="E44" s="62" t="s">
        <v>20</v>
      </c>
      <c r="F44" s="62" t="s">
        <v>21</v>
      </c>
      <c r="G44" s="62"/>
      <c r="H44" s="62"/>
      <c r="I44" s="62"/>
      <c r="J44" s="62"/>
      <c r="K44" s="62"/>
      <c r="L44" s="62"/>
      <c r="M44" s="62"/>
      <c r="N44" s="62"/>
    </row>
    <row r="45" spans="1:14" x14ac:dyDescent="0.25">
      <c r="B45" s="36" t="s">
        <v>115</v>
      </c>
      <c r="C45" s="33">
        <f>C42+D42+E42</f>
        <v>15553161</v>
      </c>
      <c r="D45" s="33">
        <f>F42+G42+H42</f>
        <v>15553161</v>
      </c>
      <c r="E45" s="33">
        <f>SUM(I42:K42)</f>
        <v>15553161</v>
      </c>
      <c r="F45" s="33">
        <f>SUM(L42:N42)</f>
        <v>15553161</v>
      </c>
    </row>
    <row r="46" spans="1:14" x14ac:dyDescent="0.25">
      <c r="B46" s="36" t="s">
        <v>116</v>
      </c>
      <c r="C46" s="1"/>
      <c r="D46" s="26">
        <f>(C33+D33+E33+F33+G33+H33)*H41</f>
        <v>2029281.0000000005</v>
      </c>
      <c r="E46" s="1"/>
      <c r="F46" s="26">
        <f>SUM(I33:N33)*N41</f>
        <v>2029281.0000000005</v>
      </c>
    </row>
    <row r="47" spans="1:14" x14ac:dyDescent="0.25">
      <c r="B47" s="36" t="s">
        <v>117</v>
      </c>
      <c r="C47" s="1"/>
      <c r="D47" s="26"/>
      <c r="E47" s="1"/>
      <c r="F47" s="26">
        <f>SUM(C34:N34)*N41</f>
        <v>4058562</v>
      </c>
    </row>
    <row r="48" spans="1:14" x14ac:dyDescent="0.25">
      <c r="B48" s="36" t="s">
        <v>118</v>
      </c>
      <c r="C48" s="1"/>
      <c r="D48" s="1"/>
      <c r="E48" s="1"/>
      <c r="F48" s="33">
        <f>SUM(C35:N35)*N41</f>
        <v>487027.44000000018</v>
      </c>
    </row>
    <row r="49" spans="2:6" x14ac:dyDescent="0.25">
      <c r="B49" s="37" t="s">
        <v>119</v>
      </c>
      <c r="C49" s="6"/>
      <c r="D49" s="6"/>
      <c r="E49" s="6"/>
      <c r="F49" s="38">
        <f>SUM(C36:N36)*N41</f>
        <v>1875000</v>
      </c>
    </row>
    <row r="50" spans="2:6" x14ac:dyDescent="0.25">
      <c r="B50" s="42" t="s">
        <v>214</v>
      </c>
      <c r="C50" s="20">
        <f>SUM(C45:C49)</f>
        <v>15553161</v>
      </c>
      <c r="D50" s="20">
        <f>D45+D46</f>
        <v>17582442</v>
      </c>
      <c r="E50" s="20">
        <f>SUM(E45)</f>
        <v>15553161</v>
      </c>
      <c r="F50" s="20">
        <f>F45+F46+F47+F48+F49</f>
        <v>24003031.440000001</v>
      </c>
    </row>
    <row r="55" spans="2:6" x14ac:dyDescent="0.25">
      <c r="D55" s="150"/>
      <c r="E55" s="150"/>
      <c r="F55" s="150"/>
    </row>
  </sheetData>
  <mergeCells count="17">
    <mergeCell ref="A32:B32"/>
    <mergeCell ref="E1:G1"/>
    <mergeCell ref="A1:C1"/>
    <mergeCell ref="A40:B40"/>
    <mergeCell ref="A41:B41"/>
    <mergeCell ref="A11:A15"/>
    <mergeCell ref="A28:B28"/>
    <mergeCell ref="A29:B29"/>
    <mergeCell ref="A30:B30"/>
    <mergeCell ref="A31:B31"/>
    <mergeCell ref="A42:B42"/>
    <mergeCell ref="A33:B33"/>
    <mergeCell ref="A34:B34"/>
    <mergeCell ref="A35:B35"/>
    <mergeCell ref="A36:B36"/>
    <mergeCell ref="A38:B38"/>
    <mergeCell ref="A39:B3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36CCF-7FDC-4E22-8319-FEE73CEE77A0}">
  <dimension ref="A1:N56"/>
  <sheetViews>
    <sheetView zoomScale="70" zoomScaleNormal="70" workbookViewId="0">
      <selection activeCell="C3" sqref="C3"/>
    </sheetView>
  </sheetViews>
  <sheetFormatPr baseColWidth="10" defaultRowHeight="15" x14ac:dyDescent="0.25"/>
  <cols>
    <col min="1" max="1" width="11.42578125" customWidth="1"/>
    <col min="2" max="2" width="38.140625" customWidth="1"/>
    <col min="3" max="3" width="18.85546875" customWidth="1"/>
    <col min="4" max="4" width="21.7109375" customWidth="1"/>
    <col min="5" max="5" width="19.5703125" customWidth="1"/>
    <col min="6" max="6" width="20.85546875" customWidth="1"/>
    <col min="7" max="7" width="16.85546875" customWidth="1"/>
    <col min="8" max="8" width="20" customWidth="1"/>
    <col min="9" max="9" width="21" customWidth="1"/>
    <col min="10" max="10" width="18.140625" customWidth="1"/>
    <col min="11" max="11" width="19.5703125" customWidth="1"/>
    <col min="12" max="12" width="19.140625" customWidth="1"/>
    <col min="13" max="13" width="17.5703125" customWidth="1"/>
    <col min="14" max="14" width="18.85546875" customWidth="1"/>
  </cols>
  <sheetData>
    <row r="1" spans="1:14" x14ac:dyDescent="0.25">
      <c r="A1" s="552" t="s">
        <v>299</v>
      </c>
      <c r="B1" s="552"/>
      <c r="C1" s="552"/>
      <c r="E1" s="15"/>
    </row>
    <row r="3" spans="1:14" x14ac:dyDescent="0.25">
      <c r="B3" s="19" t="s">
        <v>69</v>
      </c>
      <c r="C3" s="20">
        <v>980000</v>
      </c>
    </row>
    <row r="4" spans="1:14" x14ac:dyDescent="0.25">
      <c r="B4" s="19" t="s">
        <v>70</v>
      </c>
      <c r="C4" s="20">
        <v>102854</v>
      </c>
    </row>
    <row r="5" spans="1:14" x14ac:dyDescent="0.25">
      <c r="B5" s="19" t="s">
        <v>71</v>
      </c>
      <c r="C5" s="21">
        <f>$C$3/160</f>
        <v>6125</v>
      </c>
    </row>
    <row r="6" spans="1:14" x14ac:dyDescent="0.25">
      <c r="B6" s="22" t="s">
        <v>72</v>
      </c>
      <c r="C6" s="23">
        <f>($C$3/160)*0.25</f>
        <v>1531.25</v>
      </c>
    </row>
    <row r="7" spans="1:14" x14ac:dyDescent="0.25">
      <c r="B7" s="22" t="s">
        <v>73</v>
      </c>
      <c r="C7" s="23">
        <f>($C$3/240)*1.25</f>
        <v>5104.166666666667</v>
      </c>
    </row>
    <row r="8" spans="1:14" x14ac:dyDescent="0.25">
      <c r="B8" s="15"/>
      <c r="C8" s="24"/>
    </row>
    <row r="9" spans="1:14" x14ac:dyDescent="0.25">
      <c r="C9" s="25" t="s">
        <v>74</v>
      </c>
      <c r="D9" s="19" t="s">
        <v>75</v>
      </c>
      <c r="E9" s="25" t="s">
        <v>76</v>
      </c>
      <c r="F9" s="19" t="s">
        <v>77</v>
      </c>
      <c r="G9" s="25" t="s">
        <v>78</v>
      </c>
      <c r="H9" s="19" t="s">
        <v>79</v>
      </c>
      <c r="I9" s="25" t="s">
        <v>80</v>
      </c>
      <c r="J9" s="19" t="s">
        <v>81</v>
      </c>
      <c r="K9" s="25" t="s">
        <v>82</v>
      </c>
      <c r="L9" s="19" t="s">
        <v>83</v>
      </c>
      <c r="M9" s="25" t="s">
        <v>84</v>
      </c>
      <c r="N9" s="19" t="s">
        <v>65</v>
      </c>
    </row>
    <row r="10" spans="1:14" x14ac:dyDescent="0.25">
      <c r="B10" s="22" t="s">
        <v>85</v>
      </c>
      <c r="C10" s="1"/>
      <c r="D10" s="151"/>
      <c r="E10" s="151"/>
      <c r="F10" s="1"/>
      <c r="G10" s="151"/>
      <c r="H10" s="151"/>
      <c r="I10" s="1"/>
      <c r="J10" s="151"/>
      <c r="K10" s="151"/>
      <c r="L10" s="1"/>
      <c r="M10" s="151"/>
      <c r="N10" s="151"/>
    </row>
    <row r="11" spans="1:14" x14ac:dyDescent="0.25">
      <c r="A11" s="545" t="s">
        <v>86</v>
      </c>
      <c r="B11" s="39" t="s">
        <v>87</v>
      </c>
      <c r="C11" s="21">
        <f>$C$3</f>
        <v>980000</v>
      </c>
      <c r="D11" s="21">
        <f t="shared" ref="D11:N11" si="0">$C$3</f>
        <v>980000</v>
      </c>
      <c r="E11" s="21">
        <f t="shared" si="0"/>
        <v>980000</v>
      </c>
      <c r="F11" s="21">
        <f t="shared" si="0"/>
        <v>980000</v>
      </c>
      <c r="G11" s="21">
        <f t="shared" si="0"/>
        <v>980000</v>
      </c>
      <c r="H11" s="21">
        <f t="shared" si="0"/>
        <v>980000</v>
      </c>
      <c r="I11" s="21">
        <f t="shared" si="0"/>
        <v>980000</v>
      </c>
      <c r="J11" s="21">
        <f t="shared" si="0"/>
        <v>980000</v>
      </c>
      <c r="K11" s="21">
        <f t="shared" si="0"/>
        <v>980000</v>
      </c>
      <c r="L11" s="21">
        <f t="shared" si="0"/>
        <v>980000</v>
      </c>
      <c r="M11" s="21">
        <f t="shared" si="0"/>
        <v>980000</v>
      </c>
      <c r="N11" s="21">
        <f t="shared" si="0"/>
        <v>980000</v>
      </c>
    </row>
    <row r="12" spans="1:14" x14ac:dyDescent="0.25">
      <c r="A12" s="545"/>
      <c r="B12" s="39" t="s">
        <v>88</v>
      </c>
      <c r="C12" s="21">
        <v>102854</v>
      </c>
      <c r="D12" s="21">
        <v>102854</v>
      </c>
      <c r="E12" s="21">
        <v>102854</v>
      </c>
      <c r="F12" s="21">
        <v>102854</v>
      </c>
      <c r="G12" s="21">
        <v>102854</v>
      </c>
      <c r="H12" s="21">
        <v>102854</v>
      </c>
      <c r="I12" s="21">
        <v>102854</v>
      </c>
      <c r="J12" s="21">
        <v>102854</v>
      </c>
      <c r="K12" s="21">
        <v>102854</v>
      </c>
      <c r="L12" s="21">
        <v>102854</v>
      </c>
      <c r="M12" s="21">
        <v>102854</v>
      </c>
      <c r="N12" s="21">
        <v>102854</v>
      </c>
    </row>
    <row r="13" spans="1:14" x14ac:dyDescent="0.25">
      <c r="A13" s="545"/>
      <c r="B13" s="39" t="s">
        <v>89</v>
      </c>
      <c r="C13" s="21">
        <f>$C$7*C10</f>
        <v>0</v>
      </c>
      <c r="D13" s="21">
        <f t="shared" ref="D13:N13" si="1">$C$7*D10</f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21">
        <f t="shared" si="1"/>
        <v>0</v>
      </c>
    </row>
    <row r="14" spans="1:14" x14ac:dyDescent="0.25">
      <c r="A14" s="545"/>
      <c r="B14" s="39" t="s">
        <v>90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x14ac:dyDescent="0.25">
      <c r="A15" s="545"/>
      <c r="B15" s="39" t="s">
        <v>91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x14ac:dyDescent="0.25">
      <c r="B16" s="1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25">
      <c r="A17" s="15" t="s">
        <v>92</v>
      </c>
      <c r="B17" s="19" t="s">
        <v>93</v>
      </c>
      <c r="C17" s="26">
        <f>C11+C12+C13+C14+C15</f>
        <v>1082854</v>
      </c>
      <c r="D17" s="26">
        <f t="shared" ref="D17:N17" si="2">D11+D12+D13+D14+D15</f>
        <v>1082854</v>
      </c>
      <c r="E17" s="26">
        <f t="shared" si="2"/>
        <v>1082854</v>
      </c>
      <c r="F17" s="26">
        <f t="shared" si="2"/>
        <v>1082854</v>
      </c>
      <c r="G17" s="26">
        <f t="shared" si="2"/>
        <v>1082854</v>
      </c>
      <c r="H17" s="26">
        <f t="shared" si="2"/>
        <v>1082854</v>
      </c>
      <c r="I17" s="26">
        <f t="shared" si="2"/>
        <v>1082854</v>
      </c>
      <c r="J17" s="26">
        <f t="shared" si="2"/>
        <v>1082854</v>
      </c>
      <c r="K17" s="26">
        <f t="shared" si="2"/>
        <v>1082854</v>
      </c>
      <c r="L17" s="26">
        <f t="shared" si="2"/>
        <v>1082854</v>
      </c>
      <c r="M17" s="26">
        <f t="shared" si="2"/>
        <v>1082854</v>
      </c>
      <c r="N17" s="26">
        <f t="shared" si="2"/>
        <v>1082854</v>
      </c>
    </row>
    <row r="18" spans="1:14" ht="45" x14ac:dyDescent="0.25">
      <c r="A18" s="15"/>
      <c r="B18" s="27" t="s">
        <v>94</v>
      </c>
      <c r="C18" s="26">
        <f>C17-C12</f>
        <v>980000</v>
      </c>
      <c r="D18" s="26">
        <f t="shared" ref="D18:N18" si="3">D17-D12</f>
        <v>980000</v>
      </c>
      <c r="E18" s="26">
        <f t="shared" si="3"/>
        <v>980000</v>
      </c>
      <c r="F18" s="26">
        <f t="shared" si="3"/>
        <v>980000</v>
      </c>
      <c r="G18" s="26">
        <f t="shared" si="3"/>
        <v>980000</v>
      </c>
      <c r="H18" s="26">
        <f t="shared" si="3"/>
        <v>980000</v>
      </c>
      <c r="I18" s="26">
        <f t="shared" si="3"/>
        <v>980000</v>
      </c>
      <c r="J18" s="26">
        <f t="shared" si="3"/>
        <v>980000</v>
      </c>
      <c r="K18" s="26">
        <f t="shared" si="3"/>
        <v>980000</v>
      </c>
      <c r="L18" s="26">
        <f t="shared" si="3"/>
        <v>980000</v>
      </c>
      <c r="M18" s="26">
        <f t="shared" si="3"/>
        <v>980000</v>
      </c>
      <c r="N18" s="26">
        <f t="shared" si="3"/>
        <v>980000</v>
      </c>
    </row>
    <row r="19" spans="1:14" x14ac:dyDescent="0.25">
      <c r="A19" s="40" t="s">
        <v>95</v>
      </c>
      <c r="B19" s="40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x14ac:dyDescent="0.25">
      <c r="A20" s="17"/>
      <c r="B20" s="41" t="s">
        <v>96</v>
      </c>
      <c r="C20" s="28">
        <f>$C$18*0.04</f>
        <v>39200</v>
      </c>
      <c r="D20" s="28">
        <f>D18*0.04</f>
        <v>39200</v>
      </c>
      <c r="E20" s="28">
        <f t="shared" ref="E20:M20" si="4">E18*0.04</f>
        <v>39200</v>
      </c>
      <c r="F20" s="28">
        <f t="shared" si="4"/>
        <v>39200</v>
      </c>
      <c r="G20" s="28">
        <f t="shared" si="4"/>
        <v>39200</v>
      </c>
      <c r="H20" s="28">
        <f t="shared" si="4"/>
        <v>39200</v>
      </c>
      <c r="I20" s="28">
        <f t="shared" si="4"/>
        <v>39200</v>
      </c>
      <c r="J20" s="28">
        <f t="shared" si="4"/>
        <v>39200</v>
      </c>
      <c r="K20" s="28">
        <f t="shared" si="4"/>
        <v>39200</v>
      </c>
      <c r="L20" s="28">
        <f t="shared" si="4"/>
        <v>39200</v>
      </c>
      <c r="M20" s="28">
        <f t="shared" si="4"/>
        <v>39200</v>
      </c>
      <c r="N20" s="28">
        <f>N18*0.04</f>
        <v>39200</v>
      </c>
    </row>
    <row r="21" spans="1:14" x14ac:dyDescent="0.25">
      <c r="A21" s="17"/>
      <c r="B21" s="41" t="s">
        <v>97</v>
      </c>
      <c r="C21" s="26">
        <f>C18*0.085</f>
        <v>83300</v>
      </c>
      <c r="D21" s="26">
        <f t="shared" ref="D21:M21" si="5">D18*0.085</f>
        <v>83300</v>
      </c>
      <c r="E21" s="26">
        <f t="shared" si="5"/>
        <v>83300</v>
      </c>
      <c r="F21" s="26">
        <f t="shared" si="5"/>
        <v>83300</v>
      </c>
      <c r="G21" s="26">
        <f t="shared" si="5"/>
        <v>83300</v>
      </c>
      <c r="H21" s="26">
        <f t="shared" si="5"/>
        <v>83300</v>
      </c>
      <c r="I21" s="26">
        <f t="shared" si="5"/>
        <v>83300</v>
      </c>
      <c r="J21" s="26">
        <f t="shared" si="5"/>
        <v>83300</v>
      </c>
      <c r="K21" s="26">
        <f t="shared" si="5"/>
        <v>83300</v>
      </c>
      <c r="L21" s="26">
        <f t="shared" si="5"/>
        <v>83300</v>
      </c>
      <c r="M21" s="26">
        <f t="shared" si="5"/>
        <v>83300</v>
      </c>
      <c r="N21" s="26">
        <f>N18*0.085</f>
        <v>83300</v>
      </c>
    </row>
    <row r="22" spans="1:14" x14ac:dyDescent="0.25">
      <c r="A22" s="17" t="s">
        <v>98</v>
      </c>
      <c r="B22" s="4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x14ac:dyDescent="0.25">
      <c r="A23" s="17"/>
      <c r="B23" s="41" t="s">
        <v>96</v>
      </c>
      <c r="C23" s="28">
        <f>C18*0.04</f>
        <v>39200</v>
      </c>
      <c r="D23" s="28">
        <f t="shared" ref="D23:N23" si="6">D18*0.04</f>
        <v>39200</v>
      </c>
      <c r="E23" s="28">
        <f t="shared" si="6"/>
        <v>39200</v>
      </c>
      <c r="F23" s="28">
        <f t="shared" si="6"/>
        <v>39200</v>
      </c>
      <c r="G23" s="28">
        <f t="shared" si="6"/>
        <v>39200</v>
      </c>
      <c r="H23" s="28">
        <f t="shared" si="6"/>
        <v>39200</v>
      </c>
      <c r="I23" s="28">
        <f t="shared" si="6"/>
        <v>39200</v>
      </c>
      <c r="J23" s="28">
        <f t="shared" si="6"/>
        <v>39200</v>
      </c>
      <c r="K23" s="28">
        <f t="shared" si="6"/>
        <v>39200</v>
      </c>
      <c r="L23" s="28">
        <f t="shared" si="6"/>
        <v>39200</v>
      </c>
      <c r="M23" s="28">
        <f t="shared" si="6"/>
        <v>39200</v>
      </c>
      <c r="N23" s="28">
        <f t="shared" si="6"/>
        <v>39200</v>
      </c>
    </row>
    <row r="24" spans="1:14" x14ac:dyDescent="0.25">
      <c r="A24" s="17"/>
      <c r="B24" s="41" t="s">
        <v>97</v>
      </c>
      <c r="C24" s="26">
        <f>C18*0.12</f>
        <v>117600</v>
      </c>
      <c r="D24" s="26">
        <f t="shared" ref="D24:N24" si="7">D18*0.12</f>
        <v>117600</v>
      </c>
      <c r="E24" s="26">
        <f t="shared" si="7"/>
        <v>117600</v>
      </c>
      <c r="F24" s="26">
        <f t="shared" si="7"/>
        <v>117600</v>
      </c>
      <c r="G24" s="26">
        <f t="shared" si="7"/>
        <v>117600</v>
      </c>
      <c r="H24" s="26">
        <f t="shared" si="7"/>
        <v>117600</v>
      </c>
      <c r="I24" s="26">
        <f t="shared" si="7"/>
        <v>117600</v>
      </c>
      <c r="J24" s="26">
        <f t="shared" si="7"/>
        <v>117600</v>
      </c>
      <c r="K24" s="26">
        <f t="shared" si="7"/>
        <v>117600</v>
      </c>
      <c r="L24" s="26">
        <f t="shared" si="7"/>
        <v>117600</v>
      </c>
      <c r="M24" s="26">
        <f t="shared" si="7"/>
        <v>117600</v>
      </c>
      <c r="N24" s="26">
        <f t="shared" si="7"/>
        <v>117600</v>
      </c>
    </row>
    <row r="25" spans="1:14" x14ac:dyDescent="0.25">
      <c r="A25" s="17"/>
      <c r="B25" s="1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x14ac:dyDescent="0.25">
      <c r="A26" s="17" t="s">
        <v>99</v>
      </c>
      <c r="B26" s="17" t="s">
        <v>100</v>
      </c>
      <c r="C26" s="26">
        <f>C18*0.522%</f>
        <v>5115.5999999999995</v>
      </c>
      <c r="D26" s="26">
        <f t="shared" ref="D26:N26" si="8">D18*0.522%</f>
        <v>5115.5999999999995</v>
      </c>
      <c r="E26" s="26">
        <f t="shared" si="8"/>
        <v>5115.5999999999995</v>
      </c>
      <c r="F26" s="26">
        <f t="shared" si="8"/>
        <v>5115.5999999999995</v>
      </c>
      <c r="G26" s="26">
        <f t="shared" si="8"/>
        <v>5115.5999999999995</v>
      </c>
      <c r="H26" s="26">
        <f t="shared" si="8"/>
        <v>5115.5999999999995</v>
      </c>
      <c r="I26" s="26">
        <f t="shared" si="8"/>
        <v>5115.5999999999995</v>
      </c>
      <c r="J26" s="26">
        <f t="shared" si="8"/>
        <v>5115.5999999999995</v>
      </c>
      <c r="K26" s="26">
        <f t="shared" si="8"/>
        <v>5115.5999999999995</v>
      </c>
      <c r="L26" s="26">
        <f t="shared" si="8"/>
        <v>5115.5999999999995</v>
      </c>
      <c r="M26" s="26">
        <f t="shared" si="8"/>
        <v>5115.5999999999995</v>
      </c>
      <c r="N26" s="26">
        <f t="shared" si="8"/>
        <v>5115.5999999999995</v>
      </c>
    </row>
    <row r="27" spans="1:14" x14ac:dyDescent="0.25">
      <c r="A27" s="17"/>
      <c r="B27" s="1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x14ac:dyDescent="0.25">
      <c r="A28" s="546" t="s">
        <v>101</v>
      </c>
      <c r="B28" s="54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x14ac:dyDescent="0.25">
      <c r="A29" s="548" t="s">
        <v>102</v>
      </c>
      <c r="B29" s="549"/>
      <c r="C29" s="26">
        <f>C18*0.02</f>
        <v>19600</v>
      </c>
      <c r="D29" s="26">
        <f t="shared" ref="D29:N29" si="9">D18*0.02</f>
        <v>19600</v>
      </c>
      <c r="E29" s="26">
        <f t="shared" si="9"/>
        <v>19600</v>
      </c>
      <c r="F29" s="26">
        <f t="shared" si="9"/>
        <v>19600</v>
      </c>
      <c r="G29" s="26">
        <f t="shared" si="9"/>
        <v>19600</v>
      </c>
      <c r="H29" s="26">
        <f t="shared" si="9"/>
        <v>19600</v>
      </c>
      <c r="I29" s="26">
        <f t="shared" si="9"/>
        <v>19600</v>
      </c>
      <c r="J29" s="26">
        <f t="shared" si="9"/>
        <v>19600</v>
      </c>
      <c r="K29" s="26">
        <f t="shared" si="9"/>
        <v>19600</v>
      </c>
      <c r="L29" s="26">
        <f t="shared" si="9"/>
        <v>19600</v>
      </c>
      <c r="M29" s="26">
        <f t="shared" si="9"/>
        <v>19600</v>
      </c>
      <c r="N29" s="26">
        <f t="shared" si="9"/>
        <v>19600</v>
      </c>
    </row>
    <row r="30" spans="1:14" x14ac:dyDescent="0.25">
      <c r="A30" s="548" t="s">
        <v>103</v>
      </c>
      <c r="B30" s="549"/>
      <c r="C30" s="26">
        <f>C18*0.03</f>
        <v>29400</v>
      </c>
      <c r="D30" s="26">
        <f t="shared" ref="D30:N30" si="10">D18*0.03</f>
        <v>29400</v>
      </c>
      <c r="E30" s="26">
        <f t="shared" si="10"/>
        <v>29400</v>
      </c>
      <c r="F30" s="26">
        <f t="shared" si="10"/>
        <v>29400</v>
      </c>
      <c r="G30" s="26">
        <f t="shared" si="10"/>
        <v>29400</v>
      </c>
      <c r="H30" s="26">
        <f t="shared" si="10"/>
        <v>29400</v>
      </c>
      <c r="I30" s="26">
        <f t="shared" si="10"/>
        <v>29400</v>
      </c>
      <c r="J30" s="26">
        <f t="shared" si="10"/>
        <v>29400</v>
      </c>
      <c r="K30" s="26">
        <f t="shared" si="10"/>
        <v>29400</v>
      </c>
      <c r="L30" s="26">
        <f t="shared" si="10"/>
        <v>29400</v>
      </c>
      <c r="M30" s="26">
        <f t="shared" si="10"/>
        <v>29400</v>
      </c>
      <c r="N30" s="26">
        <f t="shared" si="10"/>
        <v>29400</v>
      </c>
    </row>
    <row r="31" spans="1:14" x14ac:dyDescent="0.25">
      <c r="A31" s="550" t="s">
        <v>104</v>
      </c>
      <c r="B31" s="551"/>
      <c r="C31" s="26">
        <f>C18*4%</f>
        <v>39200</v>
      </c>
      <c r="D31" s="26">
        <f t="shared" ref="D31:N31" si="11">D18*4%</f>
        <v>39200</v>
      </c>
      <c r="E31" s="26">
        <f t="shared" si="11"/>
        <v>39200</v>
      </c>
      <c r="F31" s="26">
        <f t="shared" si="11"/>
        <v>39200</v>
      </c>
      <c r="G31" s="26">
        <f t="shared" si="11"/>
        <v>39200</v>
      </c>
      <c r="H31" s="26">
        <f t="shared" si="11"/>
        <v>39200</v>
      </c>
      <c r="I31" s="26">
        <f t="shared" si="11"/>
        <v>39200</v>
      </c>
      <c r="J31" s="26">
        <f t="shared" si="11"/>
        <v>39200</v>
      </c>
      <c r="K31" s="26">
        <f t="shared" si="11"/>
        <v>39200</v>
      </c>
      <c r="L31" s="26">
        <f t="shared" si="11"/>
        <v>39200</v>
      </c>
      <c r="M31" s="26">
        <f t="shared" si="11"/>
        <v>39200</v>
      </c>
      <c r="N31" s="26">
        <f t="shared" si="11"/>
        <v>39200</v>
      </c>
    </row>
    <row r="32" spans="1:14" x14ac:dyDescent="0.25">
      <c r="A32" s="539" t="s">
        <v>105</v>
      </c>
      <c r="B32" s="540"/>
      <c r="C32" s="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533" t="s">
        <v>106</v>
      </c>
      <c r="B33" s="533"/>
      <c r="C33" s="29">
        <f>C17*(25/3)%</f>
        <v>90237.833333333343</v>
      </c>
      <c r="D33" s="29">
        <f t="shared" ref="D33:N33" si="12">D17*(25/3)%</f>
        <v>90237.833333333343</v>
      </c>
      <c r="E33" s="29">
        <f t="shared" si="12"/>
        <v>90237.833333333343</v>
      </c>
      <c r="F33" s="29">
        <f t="shared" si="12"/>
        <v>90237.833333333343</v>
      </c>
      <c r="G33" s="29">
        <f t="shared" si="12"/>
        <v>90237.833333333343</v>
      </c>
      <c r="H33" s="29">
        <f t="shared" si="12"/>
        <v>90237.833333333343</v>
      </c>
      <c r="I33" s="29">
        <f t="shared" si="12"/>
        <v>90237.833333333343</v>
      </c>
      <c r="J33" s="29">
        <f t="shared" si="12"/>
        <v>90237.833333333343</v>
      </c>
      <c r="K33" s="29">
        <f t="shared" si="12"/>
        <v>90237.833333333343</v>
      </c>
      <c r="L33" s="29">
        <f t="shared" si="12"/>
        <v>90237.833333333343</v>
      </c>
      <c r="M33" s="29">
        <f t="shared" si="12"/>
        <v>90237.833333333343</v>
      </c>
      <c r="N33" s="29">
        <f t="shared" si="12"/>
        <v>90237.833333333343</v>
      </c>
    </row>
    <row r="34" spans="1:14" x14ac:dyDescent="0.25">
      <c r="A34" s="534" t="s">
        <v>107</v>
      </c>
      <c r="B34" s="535"/>
      <c r="C34" s="29">
        <f>C17*(25/3)%</f>
        <v>90237.833333333343</v>
      </c>
      <c r="D34" s="29">
        <f t="shared" ref="D34:N34" si="13">D17*(25/3)%</f>
        <v>90237.833333333343</v>
      </c>
      <c r="E34" s="29">
        <f t="shared" si="13"/>
        <v>90237.833333333343</v>
      </c>
      <c r="F34" s="29">
        <f t="shared" si="13"/>
        <v>90237.833333333343</v>
      </c>
      <c r="G34" s="29">
        <f t="shared" si="13"/>
        <v>90237.833333333343</v>
      </c>
      <c r="H34" s="29">
        <f t="shared" si="13"/>
        <v>90237.833333333343</v>
      </c>
      <c r="I34" s="29">
        <f t="shared" si="13"/>
        <v>90237.833333333343</v>
      </c>
      <c r="J34" s="29">
        <f t="shared" si="13"/>
        <v>90237.833333333343</v>
      </c>
      <c r="K34" s="29">
        <f t="shared" si="13"/>
        <v>90237.833333333343</v>
      </c>
      <c r="L34" s="29">
        <f t="shared" si="13"/>
        <v>90237.833333333343</v>
      </c>
      <c r="M34" s="29">
        <f t="shared" si="13"/>
        <v>90237.833333333343</v>
      </c>
      <c r="N34" s="29">
        <f t="shared" si="13"/>
        <v>90237.833333333343</v>
      </c>
    </row>
    <row r="35" spans="1:14" x14ac:dyDescent="0.25">
      <c r="A35" s="533" t="s">
        <v>108</v>
      </c>
      <c r="B35" s="533"/>
      <c r="C35" s="30">
        <f>C34*(12%)</f>
        <v>10828.54</v>
      </c>
      <c r="D35" s="30">
        <f t="shared" ref="D35:N35" si="14">D34*(12%)</f>
        <v>10828.54</v>
      </c>
      <c r="E35" s="30">
        <f t="shared" si="14"/>
        <v>10828.54</v>
      </c>
      <c r="F35" s="30">
        <f t="shared" si="14"/>
        <v>10828.54</v>
      </c>
      <c r="G35" s="30">
        <f t="shared" si="14"/>
        <v>10828.54</v>
      </c>
      <c r="H35" s="30">
        <f t="shared" si="14"/>
        <v>10828.54</v>
      </c>
      <c r="I35" s="30">
        <f t="shared" si="14"/>
        <v>10828.54</v>
      </c>
      <c r="J35" s="30">
        <f t="shared" si="14"/>
        <v>10828.54</v>
      </c>
      <c r="K35" s="30">
        <f t="shared" si="14"/>
        <v>10828.54</v>
      </c>
      <c r="L35" s="30">
        <f t="shared" si="14"/>
        <v>10828.54</v>
      </c>
      <c r="M35" s="30">
        <f t="shared" si="14"/>
        <v>10828.54</v>
      </c>
      <c r="N35" s="30">
        <f t="shared" si="14"/>
        <v>10828.54</v>
      </c>
    </row>
    <row r="36" spans="1:14" x14ac:dyDescent="0.25">
      <c r="A36" s="536" t="s">
        <v>109</v>
      </c>
      <c r="B36" s="536"/>
      <c r="C36" s="26">
        <f>C11*(25/6)%</f>
        <v>40833.333333333336</v>
      </c>
      <c r="D36" s="26">
        <f t="shared" ref="D36:N36" si="15">D11*(25/6)%</f>
        <v>40833.333333333336</v>
      </c>
      <c r="E36" s="26">
        <f t="shared" si="15"/>
        <v>40833.333333333336</v>
      </c>
      <c r="F36" s="26">
        <f t="shared" si="15"/>
        <v>40833.333333333336</v>
      </c>
      <c r="G36" s="26">
        <f t="shared" si="15"/>
        <v>40833.333333333336</v>
      </c>
      <c r="H36" s="26">
        <f t="shared" si="15"/>
        <v>40833.333333333336</v>
      </c>
      <c r="I36" s="26">
        <f t="shared" si="15"/>
        <v>40833.333333333336</v>
      </c>
      <c r="J36" s="26">
        <f t="shared" si="15"/>
        <v>40833.333333333336</v>
      </c>
      <c r="K36" s="26">
        <f t="shared" si="15"/>
        <v>40833.333333333336</v>
      </c>
      <c r="L36" s="26">
        <f t="shared" si="15"/>
        <v>40833.333333333336</v>
      </c>
      <c r="M36" s="26">
        <f t="shared" si="15"/>
        <v>40833.333333333336</v>
      </c>
      <c r="N36" s="26">
        <f t="shared" si="15"/>
        <v>40833.333333333336</v>
      </c>
    </row>
    <row r="37" spans="1:14" x14ac:dyDescent="0.25">
      <c r="A37" s="31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 x14ac:dyDescent="0.25">
      <c r="A38" s="537" t="s">
        <v>110</v>
      </c>
      <c r="B38" s="537"/>
      <c r="C38" s="21">
        <f t="shared" ref="C38:N38" si="16">C17-C20-C23</f>
        <v>1004454</v>
      </c>
      <c r="D38" s="21">
        <f t="shared" si="16"/>
        <v>1004454</v>
      </c>
      <c r="E38" s="21">
        <f t="shared" si="16"/>
        <v>1004454</v>
      </c>
      <c r="F38" s="21">
        <f t="shared" si="16"/>
        <v>1004454</v>
      </c>
      <c r="G38" s="21">
        <f t="shared" si="16"/>
        <v>1004454</v>
      </c>
      <c r="H38" s="21">
        <f t="shared" si="16"/>
        <v>1004454</v>
      </c>
      <c r="I38" s="21">
        <f t="shared" si="16"/>
        <v>1004454</v>
      </c>
      <c r="J38" s="21">
        <f t="shared" si="16"/>
        <v>1004454</v>
      </c>
      <c r="K38" s="21">
        <f t="shared" si="16"/>
        <v>1004454</v>
      </c>
      <c r="L38" s="21">
        <f t="shared" si="16"/>
        <v>1004454</v>
      </c>
      <c r="M38" s="21">
        <f t="shared" si="16"/>
        <v>1004454</v>
      </c>
      <c r="N38" s="21">
        <f t="shared" si="16"/>
        <v>1004454</v>
      </c>
    </row>
    <row r="39" spans="1:14" x14ac:dyDescent="0.25">
      <c r="A39" s="538" t="s">
        <v>111</v>
      </c>
      <c r="B39" s="538"/>
      <c r="C39" s="46">
        <f t="shared" ref="C39:N39" si="17">C33+C34+C35+C36+C29+C30+C26+C17+C24+C21+C31</f>
        <v>1609207.1400000001</v>
      </c>
      <c r="D39" s="46">
        <f t="shared" si="17"/>
        <v>1609207.1400000001</v>
      </c>
      <c r="E39" s="46">
        <f t="shared" si="17"/>
        <v>1609207.1400000001</v>
      </c>
      <c r="F39" s="46">
        <f t="shared" si="17"/>
        <v>1609207.1400000001</v>
      </c>
      <c r="G39" s="46">
        <f t="shared" si="17"/>
        <v>1609207.1400000001</v>
      </c>
      <c r="H39" s="46">
        <f t="shared" si="17"/>
        <v>1609207.1400000001</v>
      </c>
      <c r="I39" s="46">
        <f t="shared" si="17"/>
        <v>1609207.1400000001</v>
      </c>
      <c r="J39" s="46">
        <f t="shared" si="17"/>
        <v>1609207.1400000001</v>
      </c>
      <c r="K39" s="46">
        <f t="shared" si="17"/>
        <v>1609207.1400000001</v>
      </c>
      <c r="L39" s="46">
        <f t="shared" si="17"/>
        <v>1609207.1400000001</v>
      </c>
      <c r="M39" s="46">
        <f t="shared" si="17"/>
        <v>1609207.1400000001</v>
      </c>
      <c r="N39" s="46">
        <f t="shared" si="17"/>
        <v>1609207.1400000001</v>
      </c>
    </row>
    <row r="40" spans="1:14" x14ac:dyDescent="0.25">
      <c r="A40" s="543" t="s">
        <v>112</v>
      </c>
      <c r="B40" s="544"/>
      <c r="C40" s="33">
        <f t="shared" ref="C40:N40" si="18">C21+C26+C31+C29+C30+C17+C24</f>
        <v>1377069.6</v>
      </c>
      <c r="D40" s="33">
        <f t="shared" si="18"/>
        <v>1377069.6</v>
      </c>
      <c r="E40" s="33">
        <f t="shared" si="18"/>
        <v>1377069.6</v>
      </c>
      <c r="F40" s="33">
        <f t="shared" si="18"/>
        <v>1377069.6</v>
      </c>
      <c r="G40" s="33">
        <f t="shared" si="18"/>
        <v>1377069.6</v>
      </c>
      <c r="H40" s="33">
        <f t="shared" si="18"/>
        <v>1377069.6</v>
      </c>
      <c r="I40" s="33">
        <f t="shared" si="18"/>
        <v>1377069.6</v>
      </c>
      <c r="J40" s="33">
        <f t="shared" si="18"/>
        <v>1377069.6</v>
      </c>
      <c r="K40" s="33">
        <f t="shared" si="18"/>
        <v>1377069.6</v>
      </c>
      <c r="L40" s="33">
        <f t="shared" si="18"/>
        <v>1377069.6</v>
      </c>
      <c r="M40" s="33">
        <f t="shared" si="18"/>
        <v>1377069.6</v>
      </c>
      <c r="N40" s="33">
        <f t="shared" si="18"/>
        <v>1377069.6</v>
      </c>
    </row>
    <row r="41" spans="1:14" x14ac:dyDescent="0.25">
      <c r="A41" s="532" t="s">
        <v>113</v>
      </c>
      <c r="B41" s="532"/>
      <c r="C41" s="1">
        <f>+'TIEMPOS REQUERIDOS'!B36</f>
        <v>2</v>
      </c>
      <c r="D41" s="1">
        <f>+C41</f>
        <v>2</v>
      </c>
      <c r="E41" s="1">
        <f>+D41</f>
        <v>2</v>
      </c>
      <c r="F41" s="1">
        <f>+'TIEMPOS REQUERIDOS'!C36</f>
        <v>2</v>
      </c>
      <c r="G41" s="1">
        <f>+F41</f>
        <v>2</v>
      </c>
      <c r="H41" s="1">
        <f>+G41</f>
        <v>2</v>
      </c>
      <c r="I41" s="1">
        <f>+'TIEMPOS REQUERIDOS'!D36</f>
        <v>2</v>
      </c>
      <c r="J41" s="1">
        <f>+I41</f>
        <v>2</v>
      </c>
      <c r="K41" s="1">
        <f>+J41</f>
        <v>2</v>
      </c>
      <c r="L41" s="1">
        <f>+'TIEMPOS REQUERIDOS'!E36</f>
        <v>2</v>
      </c>
      <c r="M41" s="1">
        <f>+L41</f>
        <v>2</v>
      </c>
      <c r="N41" s="1">
        <f>+M41</f>
        <v>2</v>
      </c>
    </row>
    <row r="42" spans="1:14" x14ac:dyDescent="0.25">
      <c r="A42" s="532" t="s">
        <v>114</v>
      </c>
      <c r="B42" s="532"/>
      <c r="C42" s="33">
        <f>C40*C41</f>
        <v>2754139.2</v>
      </c>
      <c r="D42" s="33">
        <f t="shared" ref="D42:N42" si="19">D40*D41</f>
        <v>2754139.2</v>
      </c>
      <c r="E42" s="33">
        <f t="shared" si="19"/>
        <v>2754139.2</v>
      </c>
      <c r="F42" s="33">
        <f t="shared" si="19"/>
        <v>2754139.2</v>
      </c>
      <c r="G42" s="33">
        <f t="shared" si="19"/>
        <v>2754139.2</v>
      </c>
      <c r="H42" s="33">
        <f t="shared" si="19"/>
        <v>2754139.2</v>
      </c>
      <c r="I42" s="33">
        <f t="shared" si="19"/>
        <v>2754139.2</v>
      </c>
      <c r="J42" s="33">
        <f t="shared" si="19"/>
        <v>2754139.2</v>
      </c>
      <c r="K42" s="33">
        <f t="shared" si="19"/>
        <v>2754139.2</v>
      </c>
      <c r="L42" s="33">
        <f t="shared" si="19"/>
        <v>2754139.2</v>
      </c>
      <c r="M42" s="33">
        <f t="shared" si="19"/>
        <v>2754139.2</v>
      </c>
      <c r="N42" s="33">
        <f t="shared" si="19"/>
        <v>2754139.2</v>
      </c>
    </row>
    <row r="43" spans="1:14" x14ac:dyDescent="0.25">
      <c r="A43" s="34"/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4" x14ac:dyDescent="0.25">
      <c r="A44" s="34"/>
      <c r="B44" s="34"/>
      <c r="C44" s="54" t="s">
        <v>18</v>
      </c>
      <c r="D44" s="62" t="s">
        <v>19</v>
      </c>
      <c r="E44" s="62" t="s">
        <v>20</v>
      </c>
      <c r="F44" s="62" t="s">
        <v>21</v>
      </c>
      <c r="G44" s="62"/>
      <c r="H44" s="62"/>
    </row>
    <row r="45" spans="1:14" x14ac:dyDescent="0.25">
      <c r="B45" s="36" t="s">
        <v>115</v>
      </c>
      <c r="C45" s="33">
        <f>C42+D42+E42</f>
        <v>8262417.6000000006</v>
      </c>
      <c r="D45" s="33">
        <f>F42+G42+H42</f>
        <v>8262417.6000000006</v>
      </c>
      <c r="E45" s="33">
        <f>SUM(I42:K42)</f>
        <v>8262417.6000000006</v>
      </c>
      <c r="F45" s="33">
        <f>SUM(L42:N42)</f>
        <v>8262417.6000000006</v>
      </c>
    </row>
    <row r="46" spans="1:14" x14ac:dyDescent="0.25">
      <c r="B46" s="36" t="s">
        <v>116</v>
      </c>
      <c r="C46" s="1"/>
      <c r="D46" s="26">
        <f>(C33+D33+E33+F33+G33+H33)*H41</f>
        <v>1082854.0000000002</v>
      </c>
      <c r="E46" s="1"/>
      <c r="F46" s="26">
        <f>SUM(I33:N33)*N41</f>
        <v>1082854.0000000002</v>
      </c>
    </row>
    <row r="47" spans="1:14" x14ac:dyDescent="0.25">
      <c r="B47" s="36" t="s">
        <v>117</v>
      </c>
      <c r="C47" s="1"/>
      <c r="D47" s="26"/>
      <c r="E47" s="1"/>
      <c r="F47" s="26">
        <f>SUM(C34:N34)*N41</f>
        <v>2165708.0000000005</v>
      </c>
    </row>
    <row r="48" spans="1:14" x14ac:dyDescent="0.25">
      <c r="B48" s="36" t="s">
        <v>118</v>
      </c>
      <c r="C48" s="1"/>
      <c r="D48" s="1"/>
      <c r="E48" s="1"/>
      <c r="F48" s="33">
        <f>SUM(C35:N35)*N41</f>
        <v>259884.96000000008</v>
      </c>
    </row>
    <row r="49" spans="1:6" x14ac:dyDescent="0.25">
      <c r="B49" s="37" t="s">
        <v>119</v>
      </c>
      <c r="C49" s="6"/>
      <c r="D49" s="6"/>
      <c r="E49" s="6"/>
      <c r="F49" s="38">
        <f>SUM(C36:N36)*N41</f>
        <v>979999.99999999988</v>
      </c>
    </row>
    <row r="50" spans="1:6" x14ac:dyDescent="0.25">
      <c r="B50" s="42" t="s">
        <v>120</v>
      </c>
      <c r="C50" s="20">
        <f>SUM(C45:C49)</f>
        <v>8262417.6000000006</v>
      </c>
      <c r="D50" s="20">
        <f>D45+D46</f>
        <v>9345271.6000000015</v>
      </c>
      <c r="E50" s="20">
        <f>SUM(E45)</f>
        <v>8262417.6000000006</v>
      </c>
      <c r="F50" s="20">
        <f>F45+F46+F47+F48+F49</f>
        <v>12750864.560000002</v>
      </c>
    </row>
    <row r="54" spans="1:6" x14ac:dyDescent="0.25">
      <c r="A54" s="150"/>
      <c r="B54" s="150"/>
      <c r="C54" s="150"/>
      <c r="D54" s="150"/>
      <c r="E54" s="150"/>
      <c r="F54" s="150"/>
    </row>
    <row r="55" spans="1:6" x14ac:dyDescent="0.25">
      <c r="A55" s="150"/>
      <c r="B55" s="150"/>
      <c r="C55" s="150"/>
      <c r="D55" s="150"/>
      <c r="E55" s="150"/>
      <c r="F55" s="150"/>
    </row>
    <row r="56" spans="1:6" x14ac:dyDescent="0.25">
      <c r="D56" s="150"/>
      <c r="E56" s="150"/>
      <c r="F56" s="150"/>
    </row>
  </sheetData>
  <mergeCells count="16">
    <mergeCell ref="A32:B32"/>
    <mergeCell ref="A1:C1"/>
    <mergeCell ref="A40:B40"/>
    <mergeCell ref="A41:B41"/>
    <mergeCell ref="A42:B42"/>
    <mergeCell ref="A33:B33"/>
    <mergeCell ref="A34:B34"/>
    <mergeCell ref="A35:B35"/>
    <mergeCell ref="A36:B36"/>
    <mergeCell ref="A38:B38"/>
    <mergeCell ref="A39:B39"/>
    <mergeCell ref="A11:A15"/>
    <mergeCell ref="A28:B28"/>
    <mergeCell ref="A29:B29"/>
    <mergeCell ref="A30:B30"/>
    <mergeCell ref="A31:B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F15C4-FA11-42C9-96E3-1D5F72E163EB}">
  <dimension ref="A1:N55"/>
  <sheetViews>
    <sheetView topLeftCell="A28" zoomScale="80" zoomScaleNormal="80" workbookViewId="0">
      <selection activeCell="H49" sqref="H49"/>
    </sheetView>
  </sheetViews>
  <sheetFormatPr baseColWidth="10" defaultRowHeight="15" x14ac:dyDescent="0.25"/>
  <cols>
    <col min="2" max="2" width="22" customWidth="1"/>
    <col min="3" max="3" width="18.42578125" customWidth="1"/>
    <col min="4" max="4" width="16.42578125" customWidth="1"/>
    <col min="5" max="5" width="16.5703125" customWidth="1"/>
    <col min="6" max="6" width="18.7109375" customWidth="1"/>
    <col min="7" max="7" width="16.7109375" customWidth="1"/>
    <col min="8" max="8" width="18.140625" customWidth="1"/>
    <col min="9" max="9" width="16.28515625" customWidth="1"/>
    <col min="10" max="10" width="15.85546875" customWidth="1"/>
    <col min="11" max="11" width="18.7109375" customWidth="1"/>
    <col min="12" max="12" width="16.140625" customWidth="1"/>
    <col min="13" max="13" width="15.85546875" customWidth="1"/>
    <col min="14" max="14" width="15.7109375" customWidth="1"/>
  </cols>
  <sheetData>
    <row r="1" spans="1:14" x14ac:dyDescent="0.25">
      <c r="A1" s="552" t="s">
        <v>300</v>
      </c>
      <c r="B1" s="552"/>
      <c r="C1" s="552"/>
      <c r="E1" s="15"/>
    </row>
    <row r="3" spans="1:14" x14ac:dyDescent="0.25">
      <c r="B3" s="19" t="s">
        <v>69</v>
      </c>
      <c r="C3" s="20">
        <v>1100000</v>
      </c>
    </row>
    <row r="4" spans="1:14" x14ac:dyDescent="0.25">
      <c r="B4" s="19" t="s">
        <v>70</v>
      </c>
      <c r="C4" s="20">
        <v>102854</v>
      </c>
    </row>
    <row r="5" spans="1:14" x14ac:dyDescent="0.25">
      <c r="B5" s="19" t="s">
        <v>71</v>
      </c>
      <c r="C5" s="21">
        <f>$C$3/160</f>
        <v>6875</v>
      </c>
    </row>
    <row r="6" spans="1:14" x14ac:dyDescent="0.25">
      <c r="B6" s="22" t="s">
        <v>72</v>
      </c>
      <c r="C6" s="23">
        <f>($C$3/160)*0.25</f>
        <v>1718.75</v>
      </c>
    </row>
    <row r="7" spans="1:14" x14ac:dyDescent="0.25">
      <c r="B7" s="22" t="s">
        <v>73</v>
      </c>
      <c r="C7" s="23">
        <f>($C$3/240)*1.25</f>
        <v>5729.1666666666661</v>
      </c>
    </row>
    <row r="8" spans="1:14" x14ac:dyDescent="0.25">
      <c r="B8" s="15"/>
      <c r="C8" s="24"/>
    </row>
    <row r="9" spans="1:14" x14ac:dyDescent="0.25">
      <c r="C9" s="25" t="s">
        <v>74</v>
      </c>
      <c r="D9" s="19" t="s">
        <v>75</v>
      </c>
      <c r="E9" s="25" t="s">
        <v>76</v>
      </c>
      <c r="F9" s="19" t="s">
        <v>77</v>
      </c>
      <c r="G9" s="25" t="s">
        <v>78</v>
      </c>
      <c r="H9" s="19" t="s">
        <v>79</v>
      </c>
      <c r="I9" s="25" t="s">
        <v>80</v>
      </c>
      <c r="J9" s="19" t="s">
        <v>81</v>
      </c>
      <c r="K9" s="25" t="s">
        <v>82</v>
      </c>
      <c r="L9" s="19" t="s">
        <v>83</v>
      </c>
      <c r="M9" s="25" t="s">
        <v>84</v>
      </c>
      <c r="N9" s="19" t="s">
        <v>65</v>
      </c>
    </row>
    <row r="10" spans="1:14" x14ac:dyDescent="0.25">
      <c r="B10" s="22" t="s">
        <v>85</v>
      </c>
      <c r="C10" s="1"/>
      <c r="D10" s="151"/>
      <c r="E10" s="151"/>
      <c r="F10" s="1"/>
      <c r="G10" s="151"/>
      <c r="H10" s="151"/>
      <c r="I10" s="1"/>
      <c r="J10" s="151"/>
      <c r="K10" s="151"/>
      <c r="L10" s="1"/>
      <c r="M10" s="151"/>
      <c r="N10" s="151"/>
    </row>
    <row r="11" spans="1:14" x14ac:dyDescent="0.25">
      <c r="A11" s="545" t="s">
        <v>86</v>
      </c>
      <c r="B11" s="39" t="s">
        <v>87</v>
      </c>
      <c r="C11" s="21">
        <f>$C$3</f>
        <v>1100000</v>
      </c>
      <c r="D11" s="21">
        <f t="shared" ref="D11:N11" si="0">$C$3</f>
        <v>1100000</v>
      </c>
      <c r="E11" s="21">
        <f t="shared" si="0"/>
        <v>1100000</v>
      </c>
      <c r="F11" s="21">
        <f t="shared" si="0"/>
        <v>1100000</v>
      </c>
      <c r="G11" s="21">
        <f t="shared" si="0"/>
        <v>1100000</v>
      </c>
      <c r="H11" s="21">
        <f t="shared" si="0"/>
        <v>1100000</v>
      </c>
      <c r="I11" s="21">
        <f t="shared" si="0"/>
        <v>1100000</v>
      </c>
      <c r="J11" s="21">
        <f t="shared" si="0"/>
        <v>1100000</v>
      </c>
      <c r="K11" s="21">
        <f t="shared" si="0"/>
        <v>1100000</v>
      </c>
      <c r="L11" s="21">
        <f t="shared" si="0"/>
        <v>1100000</v>
      </c>
      <c r="M11" s="21">
        <f t="shared" si="0"/>
        <v>1100000</v>
      </c>
      <c r="N11" s="21">
        <f t="shared" si="0"/>
        <v>1100000</v>
      </c>
    </row>
    <row r="12" spans="1:14" x14ac:dyDescent="0.25">
      <c r="A12" s="545"/>
      <c r="B12" s="39" t="s">
        <v>88</v>
      </c>
      <c r="C12" s="21">
        <v>102854</v>
      </c>
      <c r="D12" s="21">
        <v>102854</v>
      </c>
      <c r="E12" s="21">
        <v>102854</v>
      </c>
      <c r="F12" s="21">
        <v>102854</v>
      </c>
      <c r="G12" s="21">
        <v>102854</v>
      </c>
      <c r="H12" s="21">
        <v>102854</v>
      </c>
      <c r="I12" s="21">
        <v>102854</v>
      </c>
      <c r="J12" s="21">
        <v>102854</v>
      </c>
      <c r="K12" s="21">
        <v>102854</v>
      </c>
      <c r="L12" s="21">
        <v>102854</v>
      </c>
      <c r="M12" s="21">
        <v>102854</v>
      </c>
      <c r="N12" s="21">
        <v>102854</v>
      </c>
    </row>
    <row r="13" spans="1:14" x14ac:dyDescent="0.25">
      <c r="A13" s="545"/>
      <c r="B13" s="39" t="s">
        <v>89</v>
      </c>
      <c r="C13" s="21">
        <f>$C$7*C10</f>
        <v>0</v>
      </c>
      <c r="D13" s="21">
        <f t="shared" ref="D13:N13" si="1">$C$7*D10</f>
        <v>0</v>
      </c>
      <c r="E13" s="21">
        <f t="shared" si="1"/>
        <v>0</v>
      </c>
      <c r="F13" s="2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21">
        <f t="shared" si="1"/>
        <v>0</v>
      </c>
    </row>
    <row r="14" spans="1:14" x14ac:dyDescent="0.25">
      <c r="A14" s="545"/>
      <c r="B14" s="39" t="s">
        <v>90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x14ac:dyDescent="0.25">
      <c r="A15" s="545"/>
      <c r="B15" s="39" t="s">
        <v>91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x14ac:dyDescent="0.25">
      <c r="B16" s="1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25">
      <c r="A17" s="15" t="s">
        <v>92</v>
      </c>
      <c r="B17" s="19" t="s">
        <v>93</v>
      </c>
      <c r="C17" s="26">
        <f>C11+C12+C13+C14+C15</f>
        <v>1202854</v>
      </c>
      <c r="D17" s="26">
        <f t="shared" ref="D17:N17" si="2">D11+D12+D13+D14+D15</f>
        <v>1202854</v>
      </c>
      <c r="E17" s="26">
        <f t="shared" si="2"/>
        <v>1202854</v>
      </c>
      <c r="F17" s="26">
        <f t="shared" si="2"/>
        <v>1202854</v>
      </c>
      <c r="G17" s="26">
        <f t="shared" si="2"/>
        <v>1202854</v>
      </c>
      <c r="H17" s="26">
        <f t="shared" si="2"/>
        <v>1202854</v>
      </c>
      <c r="I17" s="26">
        <f t="shared" si="2"/>
        <v>1202854</v>
      </c>
      <c r="J17" s="26">
        <f t="shared" si="2"/>
        <v>1202854</v>
      </c>
      <c r="K17" s="26">
        <f t="shared" si="2"/>
        <v>1202854</v>
      </c>
      <c r="L17" s="26">
        <f t="shared" si="2"/>
        <v>1202854</v>
      </c>
      <c r="M17" s="26">
        <f t="shared" si="2"/>
        <v>1202854</v>
      </c>
      <c r="N17" s="26">
        <f t="shared" si="2"/>
        <v>1202854</v>
      </c>
    </row>
    <row r="18" spans="1:14" ht="45" x14ac:dyDescent="0.25">
      <c r="A18" s="15"/>
      <c r="B18" s="27" t="s">
        <v>94</v>
      </c>
      <c r="C18" s="26">
        <f>C17-C12</f>
        <v>1100000</v>
      </c>
      <c r="D18" s="26">
        <f t="shared" ref="D18:N18" si="3">D17-D12</f>
        <v>1100000</v>
      </c>
      <c r="E18" s="26">
        <f t="shared" si="3"/>
        <v>1100000</v>
      </c>
      <c r="F18" s="26">
        <f t="shared" si="3"/>
        <v>1100000</v>
      </c>
      <c r="G18" s="26">
        <f t="shared" si="3"/>
        <v>1100000</v>
      </c>
      <c r="H18" s="26">
        <f t="shared" si="3"/>
        <v>1100000</v>
      </c>
      <c r="I18" s="26">
        <f t="shared" si="3"/>
        <v>1100000</v>
      </c>
      <c r="J18" s="26">
        <f t="shared" si="3"/>
        <v>1100000</v>
      </c>
      <c r="K18" s="26">
        <f t="shared" si="3"/>
        <v>1100000</v>
      </c>
      <c r="L18" s="26">
        <f t="shared" si="3"/>
        <v>1100000</v>
      </c>
      <c r="M18" s="26">
        <f t="shared" si="3"/>
        <v>1100000</v>
      </c>
      <c r="N18" s="26">
        <f t="shared" si="3"/>
        <v>1100000</v>
      </c>
    </row>
    <row r="19" spans="1:14" x14ac:dyDescent="0.25">
      <c r="A19" s="40" t="s">
        <v>95</v>
      </c>
      <c r="B19" s="40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x14ac:dyDescent="0.25">
      <c r="A20" s="17"/>
      <c r="B20" s="41" t="s">
        <v>96</v>
      </c>
      <c r="C20" s="28">
        <f>$C$18*0.04</f>
        <v>44000</v>
      </c>
      <c r="D20" s="28">
        <f>D18*0.04</f>
        <v>44000</v>
      </c>
      <c r="E20" s="28">
        <f t="shared" ref="E20:M20" si="4">E18*0.04</f>
        <v>44000</v>
      </c>
      <c r="F20" s="28">
        <f t="shared" si="4"/>
        <v>44000</v>
      </c>
      <c r="G20" s="28">
        <f t="shared" si="4"/>
        <v>44000</v>
      </c>
      <c r="H20" s="28">
        <f t="shared" si="4"/>
        <v>44000</v>
      </c>
      <c r="I20" s="28">
        <f t="shared" si="4"/>
        <v>44000</v>
      </c>
      <c r="J20" s="28">
        <f t="shared" si="4"/>
        <v>44000</v>
      </c>
      <c r="K20" s="28">
        <f t="shared" si="4"/>
        <v>44000</v>
      </c>
      <c r="L20" s="28">
        <f t="shared" si="4"/>
        <v>44000</v>
      </c>
      <c r="M20" s="28">
        <f t="shared" si="4"/>
        <v>44000</v>
      </c>
      <c r="N20" s="28">
        <f>N18*0.04</f>
        <v>44000</v>
      </c>
    </row>
    <row r="21" spans="1:14" x14ac:dyDescent="0.25">
      <c r="A21" s="17"/>
      <c r="B21" s="41" t="s">
        <v>97</v>
      </c>
      <c r="C21" s="26">
        <f>C18*0.085</f>
        <v>93500</v>
      </c>
      <c r="D21" s="26">
        <f t="shared" ref="D21:M21" si="5">D18*0.085</f>
        <v>93500</v>
      </c>
      <c r="E21" s="26">
        <f t="shared" si="5"/>
        <v>93500</v>
      </c>
      <c r="F21" s="26">
        <f t="shared" si="5"/>
        <v>93500</v>
      </c>
      <c r="G21" s="26">
        <f t="shared" si="5"/>
        <v>93500</v>
      </c>
      <c r="H21" s="26">
        <f t="shared" si="5"/>
        <v>93500</v>
      </c>
      <c r="I21" s="26">
        <f t="shared" si="5"/>
        <v>93500</v>
      </c>
      <c r="J21" s="26">
        <f t="shared" si="5"/>
        <v>93500</v>
      </c>
      <c r="K21" s="26">
        <f t="shared" si="5"/>
        <v>93500</v>
      </c>
      <c r="L21" s="26">
        <f t="shared" si="5"/>
        <v>93500</v>
      </c>
      <c r="M21" s="26">
        <f t="shared" si="5"/>
        <v>93500</v>
      </c>
      <c r="N21" s="26">
        <f>N18*0.085</f>
        <v>93500</v>
      </c>
    </row>
    <row r="22" spans="1:14" x14ac:dyDescent="0.25">
      <c r="A22" s="17" t="s">
        <v>98</v>
      </c>
      <c r="B22" s="4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x14ac:dyDescent="0.25">
      <c r="A23" s="17"/>
      <c r="B23" s="41" t="s">
        <v>96</v>
      </c>
      <c r="C23" s="28">
        <f>C18*0.04</f>
        <v>44000</v>
      </c>
      <c r="D23" s="28">
        <f t="shared" ref="D23:N23" si="6">D18*0.04</f>
        <v>44000</v>
      </c>
      <c r="E23" s="28">
        <f t="shared" si="6"/>
        <v>44000</v>
      </c>
      <c r="F23" s="28">
        <f t="shared" si="6"/>
        <v>44000</v>
      </c>
      <c r="G23" s="28">
        <f t="shared" si="6"/>
        <v>44000</v>
      </c>
      <c r="H23" s="28">
        <f t="shared" si="6"/>
        <v>44000</v>
      </c>
      <c r="I23" s="28">
        <f t="shared" si="6"/>
        <v>44000</v>
      </c>
      <c r="J23" s="28">
        <f t="shared" si="6"/>
        <v>44000</v>
      </c>
      <c r="K23" s="28">
        <f t="shared" si="6"/>
        <v>44000</v>
      </c>
      <c r="L23" s="28">
        <f t="shared" si="6"/>
        <v>44000</v>
      </c>
      <c r="M23" s="28">
        <f t="shared" si="6"/>
        <v>44000</v>
      </c>
      <c r="N23" s="28">
        <f t="shared" si="6"/>
        <v>44000</v>
      </c>
    </row>
    <row r="24" spans="1:14" x14ac:dyDescent="0.25">
      <c r="A24" s="17"/>
      <c r="B24" s="41" t="s">
        <v>97</v>
      </c>
      <c r="C24" s="26">
        <f>C18*0.12</f>
        <v>132000</v>
      </c>
      <c r="D24" s="26">
        <f t="shared" ref="D24:N24" si="7">D18*0.12</f>
        <v>132000</v>
      </c>
      <c r="E24" s="26">
        <f t="shared" si="7"/>
        <v>132000</v>
      </c>
      <c r="F24" s="26">
        <f t="shared" si="7"/>
        <v>132000</v>
      </c>
      <c r="G24" s="26">
        <f t="shared" si="7"/>
        <v>132000</v>
      </c>
      <c r="H24" s="26">
        <f t="shared" si="7"/>
        <v>132000</v>
      </c>
      <c r="I24" s="26">
        <f t="shared" si="7"/>
        <v>132000</v>
      </c>
      <c r="J24" s="26">
        <f t="shared" si="7"/>
        <v>132000</v>
      </c>
      <c r="K24" s="26">
        <f t="shared" si="7"/>
        <v>132000</v>
      </c>
      <c r="L24" s="26">
        <f t="shared" si="7"/>
        <v>132000</v>
      </c>
      <c r="M24" s="26">
        <f t="shared" si="7"/>
        <v>132000</v>
      </c>
      <c r="N24" s="26">
        <f t="shared" si="7"/>
        <v>132000</v>
      </c>
    </row>
    <row r="25" spans="1:14" x14ac:dyDescent="0.25">
      <c r="A25" s="17"/>
      <c r="B25" s="17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1:14" x14ac:dyDescent="0.25">
      <c r="A26" s="17" t="s">
        <v>99</v>
      </c>
      <c r="B26" s="17" t="s">
        <v>100</v>
      </c>
      <c r="C26" s="26">
        <f>C18*0.522%</f>
        <v>5742</v>
      </c>
      <c r="D26" s="26">
        <f t="shared" ref="D26:N26" si="8">D18*0.522%</f>
        <v>5742</v>
      </c>
      <c r="E26" s="26">
        <f t="shared" si="8"/>
        <v>5742</v>
      </c>
      <c r="F26" s="26">
        <f t="shared" si="8"/>
        <v>5742</v>
      </c>
      <c r="G26" s="26">
        <f t="shared" si="8"/>
        <v>5742</v>
      </c>
      <c r="H26" s="26">
        <f t="shared" si="8"/>
        <v>5742</v>
      </c>
      <c r="I26" s="26">
        <f t="shared" si="8"/>
        <v>5742</v>
      </c>
      <c r="J26" s="26">
        <f t="shared" si="8"/>
        <v>5742</v>
      </c>
      <c r="K26" s="26">
        <f t="shared" si="8"/>
        <v>5742</v>
      </c>
      <c r="L26" s="26">
        <f t="shared" si="8"/>
        <v>5742</v>
      </c>
      <c r="M26" s="26">
        <f t="shared" si="8"/>
        <v>5742</v>
      </c>
      <c r="N26" s="26">
        <f t="shared" si="8"/>
        <v>5742</v>
      </c>
    </row>
    <row r="27" spans="1:14" x14ac:dyDescent="0.25">
      <c r="A27" s="17"/>
      <c r="B27" s="1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</row>
    <row r="28" spans="1:14" x14ac:dyDescent="0.25">
      <c r="A28" s="546" t="s">
        <v>101</v>
      </c>
      <c r="B28" s="547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x14ac:dyDescent="0.25">
      <c r="A29" s="548" t="s">
        <v>102</v>
      </c>
      <c r="B29" s="549"/>
      <c r="C29" s="26">
        <f>C18*0.02</f>
        <v>22000</v>
      </c>
      <c r="D29" s="26">
        <f t="shared" ref="D29:N29" si="9">D18*0.02</f>
        <v>22000</v>
      </c>
      <c r="E29" s="26">
        <f t="shared" si="9"/>
        <v>22000</v>
      </c>
      <c r="F29" s="26">
        <f t="shared" si="9"/>
        <v>22000</v>
      </c>
      <c r="G29" s="26">
        <f t="shared" si="9"/>
        <v>22000</v>
      </c>
      <c r="H29" s="26">
        <f t="shared" si="9"/>
        <v>22000</v>
      </c>
      <c r="I29" s="26">
        <f t="shared" si="9"/>
        <v>22000</v>
      </c>
      <c r="J29" s="26">
        <f t="shared" si="9"/>
        <v>22000</v>
      </c>
      <c r="K29" s="26">
        <f t="shared" si="9"/>
        <v>22000</v>
      </c>
      <c r="L29" s="26">
        <f t="shared" si="9"/>
        <v>22000</v>
      </c>
      <c r="M29" s="26">
        <f t="shared" si="9"/>
        <v>22000</v>
      </c>
      <c r="N29" s="26">
        <f t="shared" si="9"/>
        <v>22000</v>
      </c>
    </row>
    <row r="30" spans="1:14" x14ac:dyDescent="0.25">
      <c r="A30" s="548" t="s">
        <v>103</v>
      </c>
      <c r="B30" s="549"/>
      <c r="C30" s="26">
        <f>C18*0.03</f>
        <v>33000</v>
      </c>
      <c r="D30" s="26">
        <f t="shared" ref="D30:N30" si="10">D18*0.03</f>
        <v>33000</v>
      </c>
      <c r="E30" s="26">
        <f t="shared" si="10"/>
        <v>33000</v>
      </c>
      <c r="F30" s="26">
        <f t="shared" si="10"/>
        <v>33000</v>
      </c>
      <c r="G30" s="26">
        <f t="shared" si="10"/>
        <v>33000</v>
      </c>
      <c r="H30" s="26">
        <f t="shared" si="10"/>
        <v>33000</v>
      </c>
      <c r="I30" s="26">
        <f t="shared" si="10"/>
        <v>33000</v>
      </c>
      <c r="J30" s="26">
        <f t="shared" si="10"/>
        <v>33000</v>
      </c>
      <c r="K30" s="26">
        <f t="shared" si="10"/>
        <v>33000</v>
      </c>
      <c r="L30" s="26">
        <f t="shared" si="10"/>
        <v>33000</v>
      </c>
      <c r="M30" s="26">
        <f t="shared" si="10"/>
        <v>33000</v>
      </c>
      <c r="N30" s="26">
        <f t="shared" si="10"/>
        <v>33000</v>
      </c>
    </row>
    <row r="31" spans="1:14" x14ac:dyDescent="0.25">
      <c r="A31" s="550" t="s">
        <v>104</v>
      </c>
      <c r="B31" s="551"/>
      <c r="C31" s="26">
        <f>C18*4%</f>
        <v>44000</v>
      </c>
      <c r="D31" s="26">
        <f t="shared" ref="D31:N31" si="11">D18*4%</f>
        <v>44000</v>
      </c>
      <c r="E31" s="26">
        <f t="shared" si="11"/>
        <v>44000</v>
      </c>
      <c r="F31" s="26">
        <f t="shared" si="11"/>
        <v>44000</v>
      </c>
      <c r="G31" s="26">
        <f t="shared" si="11"/>
        <v>44000</v>
      </c>
      <c r="H31" s="26">
        <f t="shared" si="11"/>
        <v>44000</v>
      </c>
      <c r="I31" s="26">
        <f t="shared" si="11"/>
        <v>44000</v>
      </c>
      <c r="J31" s="26">
        <f t="shared" si="11"/>
        <v>44000</v>
      </c>
      <c r="K31" s="26">
        <f t="shared" si="11"/>
        <v>44000</v>
      </c>
      <c r="L31" s="26">
        <f t="shared" si="11"/>
        <v>44000</v>
      </c>
      <c r="M31" s="26">
        <f t="shared" si="11"/>
        <v>44000</v>
      </c>
      <c r="N31" s="26">
        <f t="shared" si="11"/>
        <v>44000</v>
      </c>
    </row>
    <row r="32" spans="1:14" x14ac:dyDescent="0.25">
      <c r="A32" s="539" t="s">
        <v>105</v>
      </c>
      <c r="B32" s="540"/>
      <c r="C32" s="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5">
      <c r="A33" s="533" t="s">
        <v>106</v>
      </c>
      <c r="B33" s="533"/>
      <c r="C33" s="29">
        <f>C17*(25/3)%</f>
        <v>100237.83333333334</v>
      </c>
      <c r="D33" s="29">
        <f t="shared" ref="D33:N33" si="12">D17*(25/3)%</f>
        <v>100237.83333333334</v>
      </c>
      <c r="E33" s="29">
        <f t="shared" si="12"/>
        <v>100237.83333333334</v>
      </c>
      <c r="F33" s="29">
        <f t="shared" si="12"/>
        <v>100237.83333333334</v>
      </c>
      <c r="G33" s="29">
        <f t="shared" si="12"/>
        <v>100237.83333333334</v>
      </c>
      <c r="H33" s="29">
        <f t="shared" si="12"/>
        <v>100237.83333333334</v>
      </c>
      <c r="I33" s="29">
        <f t="shared" si="12"/>
        <v>100237.83333333334</v>
      </c>
      <c r="J33" s="29">
        <f t="shared" si="12"/>
        <v>100237.83333333334</v>
      </c>
      <c r="K33" s="29">
        <f t="shared" si="12"/>
        <v>100237.83333333334</v>
      </c>
      <c r="L33" s="29">
        <f t="shared" si="12"/>
        <v>100237.83333333334</v>
      </c>
      <c r="M33" s="29">
        <f t="shared" si="12"/>
        <v>100237.83333333334</v>
      </c>
      <c r="N33" s="29">
        <f t="shared" si="12"/>
        <v>100237.83333333334</v>
      </c>
    </row>
    <row r="34" spans="1:14" x14ac:dyDescent="0.25">
      <c r="A34" s="534" t="s">
        <v>107</v>
      </c>
      <c r="B34" s="535"/>
      <c r="C34" s="29">
        <f>C17*(25/3)%</f>
        <v>100237.83333333334</v>
      </c>
      <c r="D34" s="29">
        <f t="shared" ref="D34:N34" si="13">D17*(25/3)%</f>
        <v>100237.83333333334</v>
      </c>
      <c r="E34" s="29">
        <f t="shared" si="13"/>
        <v>100237.83333333334</v>
      </c>
      <c r="F34" s="29">
        <f t="shared" si="13"/>
        <v>100237.83333333334</v>
      </c>
      <c r="G34" s="29">
        <f t="shared" si="13"/>
        <v>100237.83333333334</v>
      </c>
      <c r="H34" s="29">
        <f t="shared" si="13"/>
        <v>100237.83333333334</v>
      </c>
      <c r="I34" s="29">
        <f t="shared" si="13"/>
        <v>100237.83333333334</v>
      </c>
      <c r="J34" s="29">
        <f t="shared" si="13"/>
        <v>100237.83333333334</v>
      </c>
      <c r="K34" s="29">
        <f t="shared" si="13"/>
        <v>100237.83333333334</v>
      </c>
      <c r="L34" s="29">
        <f t="shared" si="13"/>
        <v>100237.83333333334</v>
      </c>
      <c r="M34" s="29">
        <f t="shared" si="13"/>
        <v>100237.83333333334</v>
      </c>
      <c r="N34" s="29">
        <f t="shared" si="13"/>
        <v>100237.83333333334</v>
      </c>
    </row>
    <row r="35" spans="1:14" x14ac:dyDescent="0.25">
      <c r="A35" s="533" t="s">
        <v>108</v>
      </c>
      <c r="B35" s="533"/>
      <c r="C35" s="30">
        <f>C34*(12%)</f>
        <v>12028.54</v>
      </c>
      <c r="D35" s="30">
        <f t="shared" ref="D35:N35" si="14">D34*(12%)</f>
        <v>12028.54</v>
      </c>
      <c r="E35" s="30">
        <f t="shared" si="14"/>
        <v>12028.54</v>
      </c>
      <c r="F35" s="30">
        <f t="shared" si="14"/>
        <v>12028.54</v>
      </c>
      <c r="G35" s="30">
        <f t="shared" si="14"/>
        <v>12028.54</v>
      </c>
      <c r="H35" s="30">
        <f t="shared" si="14"/>
        <v>12028.54</v>
      </c>
      <c r="I35" s="30">
        <f t="shared" si="14"/>
        <v>12028.54</v>
      </c>
      <c r="J35" s="30">
        <f t="shared" si="14"/>
        <v>12028.54</v>
      </c>
      <c r="K35" s="30">
        <f t="shared" si="14"/>
        <v>12028.54</v>
      </c>
      <c r="L35" s="30">
        <f t="shared" si="14"/>
        <v>12028.54</v>
      </c>
      <c r="M35" s="30">
        <f t="shared" si="14"/>
        <v>12028.54</v>
      </c>
      <c r="N35" s="30">
        <f t="shared" si="14"/>
        <v>12028.54</v>
      </c>
    </row>
    <row r="36" spans="1:14" x14ac:dyDescent="0.25">
      <c r="A36" s="536" t="s">
        <v>109</v>
      </c>
      <c r="B36" s="536"/>
      <c r="C36" s="26">
        <f>C11*(25/6)%</f>
        <v>45833.333333333336</v>
      </c>
      <c r="D36" s="26">
        <f t="shared" ref="D36:N36" si="15">D11*(25/6)%</f>
        <v>45833.333333333336</v>
      </c>
      <c r="E36" s="26">
        <f t="shared" si="15"/>
        <v>45833.333333333336</v>
      </c>
      <c r="F36" s="26">
        <f t="shared" si="15"/>
        <v>45833.333333333336</v>
      </c>
      <c r="G36" s="26">
        <f t="shared" si="15"/>
        <v>45833.333333333336</v>
      </c>
      <c r="H36" s="26">
        <f t="shared" si="15"/>
        <v>45833.333333333336</v>
      </c>
      <c r="I36" s="26">
        <f t="shared" si="15"/>
        <v>45833.333333333336</v>
      </c>
      <c r="J36" s="26">
        <f t="shared" si="15"/>
        <v>45833.333333333336</v>
      </c>
      <c r="K36" s="26">
        <f t="shared" si="15"/>
        <v>45833.333333333336</v>
      </c>
      <c r="L36" s="26">
        <f t="shared" si="15"/>
        <v>45833.333333333336</v>
      </c>
      <c r="M36" s="26">
        <f t="shared" si="15"/>
        <v>45833.333333333336</v>
      </c>
      <c r="N36" s="26">
        <f t="shared" si="15"/>
        <v>45833.333333333336</v>
      </c>
    </row>
    <row r="37" spans="1:14" x14ac:dyDescent="0.25">
      <c r="A37" s="31"/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 x14ac:dyDescent="0.25">
      <c r="A38" s="537" t="s">
        <v>110</v>
      </c>
      <c r="B38" s="537"/>
      <c r="C38" s="21">
        <f t="shared" ref="C38:N38" si="16">C17-C20-C23</f>
        <v>1114854</v>
      </c>
      <c r="D38" s="21">
        <f t="shared" si="16"/>
        <v>1114854</v>
      </c>
      <c r="E38" s="21">
        <f t="shared" si="16"/>
        <v>1114854</v>
      </c>
      <c r="F38" s="21">
        <f t="shared" si="16"/>
        <v>1114854</v>
      </c>
      <c r="G38" s="21">
        <f t="shared" si="16"/>
        <v>1114854</v>
      </c>
      <c r="H38" s="21">
        <f t="shared" si="16"/>
        <v>1114854</v>
      </c>
      <c r="I38" s="21">
        <f t="shared" si="16"/>
        <v>1114854</v>
      </c>
      <c r="J38" s="21">
        <f t="shared" si="16"/>
        <v>1114854</v>
      </c>
      <c r="K38" s="21">
        <f t="shared" si="16"/>
        <v>1114854</v>
      </c>
      <c r="L38" s="21">
        <f t="shared" si="16"/>
        <v>1114854</v>
      </c>
      <c r="M38" s="21">
        <f t="shared" si="16"/>
        <v>1114854</v>
      </c>
      <c r="N38" s="21">
        <f t="shared" si="16"/>
        <v>1114854</v>
      </c>
    </row>
    <row r="39" spans="1:14" x14ac:dyDescent="0.25">
      <c r="A39" s="538" t="s">
        <v>111</v>
      </c>
      <c r="B39" s="538"/>
      <c r="C39" s="46">
        <f t="shared" ref="C39:N39" si="17">C33+C34+C35+C36+C29+C30+C26+C17+C24+C21+C31</f>
        <v>1791433.54</v>
      </c>
      <c r="D39" s="46">
        <f t="shared" si="17"/>
        <v>1791433.54</v>
      </c>
      <c r="E39" s="46">
        <f t="shared" si="17"/>
        <v>1791433.54</v>
      </c>
      <c r="F39" s="46">
        <f t="shared" si="17"/>
        <v>1791433.54</v>
      </c>
      <c r="G39" s="46">
        <f t="shared" si="17"/>
        <v>1791433.54</v>
      </c>
      <c r="H39" s="46">
        <f t="shared" si="17"/>
        <v>1791433.54</v>
      </c>
      <c r="I39" s="46">
        <f t="shared" si="17"/>
        <v>1791433.54</v>
      </c>
      <c r="J39" s="46">
        <f t="shared" si="17"/>
        <v>1791433.54</v>
      </c>
      <c r="K39" s="46">
        <f t="shared" si="17"/>
        <v>1791433.54</v>
      </c>
      <c r="L39" s="46">
        <f t="shared" si="17"/>
        <v>1791433.54</v>
      </c>
      <c r="M39" s="46">
        <f t="shared" si="17"/>
        <v>1791433.54</v>
      </c>
      <c r="N39" s="46">
        <f t="shared" si="17"/>
        <v>1791433.54</v>
      </c>
    </row>
    <row r="40" spans="1:14" x14ac:dyDescent="0.25">
      <c r="A40" s="543" t="s">
        <v>112</v>
      </c>
      <c r="B40" s="544"/>
      <c r="C40" s="33">
        <f t="shared" ref="C40:N40" si="18">C21+C26+C31+C29+C30+C17+C24</f>
        <v>1533096</v>
      </c>
      <c r="D40" s="33">
        <f t="shared" si="18"/>
        <v>1533096</v>
      </c>
      <c r="E40" s="33">
        <f t="shared" si="18"/>
        <v>1533096</v>
      </c>
      <c r="F40" s="33">
        <f t="shared" si="18"/>
        <v>1533096</v>
      </c>
      <c r="G40" s="33">
        <f t="shared" si="18"/>
        <v>1533096</v>
      </c>
      <c r="H40" s="33">
        <f t="shared" si="18"/>
        <v>1533096</v>
      </c>
      <c r="I40" s="33">
        <f t="shared" si="18"/>
        <v>1533096</v>
      </c>
      <c r="J40" s="33">
        <f t="shared" si="18"/>
        <v>1533096</v>
      </c>
      <c r="K40" s="33">
        <f t="shared" si="18"/>
        <v>1533096</v>
      </c>
      <c r="L40" s="33">
        <f t="shared" si="18"/>
        <v>1533096</v>
      </c>
      <c r="M40" s="33">
        <f t="shared" si="18"/>
        <v>1533096</v>
      </c>
      <c r="N40" s="33">
        <f t="shared" si="18"/>
        <v>1533096</v>
      </c>
    </row>
    <row r="41" spans="1:14" x14ac:dyDescent="0.25">
      <c r="A41" s="532" t="s">
        <v>113</v>
      </c>
      <c r="B41" s="532"/>
      <c r="C41" s="1">
        <f>+'TIEMPOS REQUERIDOS'!B37</f>
        <v>4</v>
      </c>
      <c r="D41" s="1">
        <f>+C41</f>
        <v>4</v>
      </c>
      <c r="E41" s="1">
        <f>+D41</f>
        <v>4</v>
      </c>
      <c r="F41" s="1">
        <f>+'TIEMPOS REQUERIDOS'!C37</f>
        <v>4</v>
      </c>
      <c r="G41" s="1">
        <f>+F41</f>
        <v>4</v>
      </c>
      <c r="H41" s="1">
        <f>+G41</f>
        <v>4</v>
      </c>
      <c r="I41" s="1">
        <f>+'TIEMPOS REQUERIDOS'!D37</f>
        <v>4</v>
      </c>
      <c r="J41" s="1">
        <f>+I41</f>
        <v>4</v>
      </c>
      <c r="K41" s="1">
        <f>+J41</f>
        <v>4</v>
      </c>
      <c r="L41" s="1">
        <f>+'TIEMPOS REQUERIDOS'!E37</f>
        <v>4</v>
      </c>
      <c r="M41" s="1">
        <f>+L41</f>
        <v>4</v>
      </c>
      <c r="N41" s="1">
        <f>+M41</f>
        <v>4</v>
      </c>
    </row>
    <row r="42" spans="1:14" x14ac:dyDescent="0.25">
      <c r="A42" s="532" t="s">
        <v>114</v>
      </c>
      <c r="B42" s="532"/>
      <c r="C42" s="33">
        <f>C40*C41</f>
        <v>6132384</v>
      </c>
      <c r="D42" s="33">
        <f t="shared" ref="D42:N42" si="19">D40*D41</f>
        <v>6132384</v>
      </c>
      <c r="E42" s="33">
        <f t="shared" si="19"/>
        <v>6132384</v>
      </c>
      <c r="F42" s="33">
        <f t="shared" si="19"/>
        <v>6132384</v>
      </c>
      <c r="G42" s="33">
        <f t="shared" si="19"/>
        <v>6132384</v>
      </c>
      <c r="H42" s="33">
        <f t="shared" si="19"/>
        <v>6132384</v>
      </c>
      <c r="I42" s="33">
        <f t="shared" si="19"/>
        <v>6132384</v>
      </c>
      <c r="J42" s="33">
        <f t="shared" si="19"/>
        <v>6132384</v>
      </c>
      <c r="K42" s="33">
        <f t="shared" si="19"/>
        <v>6132384</v>
      </c>
      <c r="L42" s="33">
        <f t="shared" si="19"/>
        <v>6132384</v>
      </c>
      <c r="M42" s="33">
        <f t="shared" si="19"/>
        <v>6132384</v>
      </c>
      <c r="N42" s="33">
        <f t="shared" si="19"/>
        <v>6132384</v>
      </c>
    </row>
    <row r="43" spans="1:14" x14ac:dyDescent="0.25">
      <c r="A43" s="34"/>
      <c r="B43" s="34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4" x14ac:dyDescent="0.25">
      <c r="A44" s="34"/>
      <c r="B44" s="34"/>
      <c r="C44" s="62" t="s">
        <v>18</v>
      </c>
      <c r="D44" s="62" t="s">
        <v>19</v>
      </c>
      <c r="E44" s="62" t="s">
        <v>20</v>
      </c>
      <c r="F44" s="62" t="s">
        <v>21</v>
      </c>
      <c r="G44" s="62"/>
      <c r="H44" s="62"/>
    </row>
    <row r="45" spans="1:14" x14ac:dyDescent="0.25">
      <c r="B45" s="36" t="s">
        <v>115</v>
      </c>
      <c r="C45" s="33">
        <f>+SUM(C42:E42)</f>
        <v>18397152</v>
      </c>
      <c r="D45" s="33">
        <f>+SUM(F42:H42)</f>
        <v>18397152</v>
      </c>
      <c r="E45" s="33">
        <f>SUM(I42:K42)</f>
        <v>18397152</v>
      </c>
      <c r="F45" s="33">
        <f>SUM(L42:N42)</f>
        <v>18397152</v>
      </c>
    </row>
    <row r="46" spans="1:14" x14ac:dyDescent="0.25">
      <c r="B46" s="36" t="s">
        <v>116</v>
      </c>
      <c r="C46" s="1"/>
      <c r="D46" s="26">
        <f>(C33+D33+E33+F33+G33+H33)*H41</f>
        <v>2405708.0000000005</v>
      </c>
      <c r="E46" s="1"/>
      <c r="F46" s="26">
        <f>SUM(I33:N33)*N41</f>
        <v>2405708.0000000005</v>
      </c>
    </row>
    <row r="47" spans="1:14" x14ac:dyDescent="0.25">
      <c r="B47" s="36" t="s">
        <v>117</v>
      </c>
      <c r="C47" s="1"/>
      <c r="D47" s="26"/>
      <c r="E47" s="1"/>
      <c r="F47" s="26">
        <f>SUM(C34:N34)*N41</f>
        <v>4811416.0000000009</v>
      </c>
    </row>
    <row r="48" spans="1:14" x14ac:dyDescent="0.25">
      <c r="B48" s="36" t="s">
        <v>118</v>
      </c>
      <c r="C48" s="1"/>
      <c r="D48" s="1"/>
      <c r="E48" s="1"/>
      <c r="F48" s="33">
        <f>SUM(C35:N35)*N41</f>
        <v>577369.92000000016</v>
      </c>
    </row>
    <row r="49" spans="1:6" x14ac:dyDescent="0.25">
      <c r="B49" s="37" t="s">
        <v>119</v>
      </c>
      <c r="C49" s="6"/>
      <c r="D49" s="6"/>
      <c r="E49" s="6"/>
      <c r="F49" s="38">
        <f>SUM(C36:N36)*N41</f>
        <v>2199999.9999999995</v>
      </c>
    </row>
    <row r="50" spans="1:6" x14ac:dyDescent="0.25">
      <c r="B50" s="42" t="s">
        <v>120</v>
      </c>
      <c r="C50" s="20">
        <f>SUM(C45:C49)</f>
        <v>18397152</v>
      </c>
      <c r="D50" s="20">
        <f>D45+D46</f>
        <v>20802860</v>
      </c>
      <c r="E50" s="20">
        <f>SUM(E45)</f>
        <v>18397152</v>
      </c>
      <c r="F50" s="20">
        <f>F45+F46+F47+F48+F49</f>
        <v>28391645.920000002</v>
      </c>
    </row>
    <row r="53" spans="1:6" x14ac:dyDescent="0.25">
      <c r="A53" s="172"/>
      <c r="B53" s="172"/>
      <c r="C53" s="172"/>
      <c r="D53" s="150"/>
      <c r="E53" s="150"/>
      <c r="F53" s="150"/>
    </row>
    <row r="54" spans="1:6" x14ac:dyDescent="0.25">
      <c r="A54" s="150"/>
      <c r="B54" s="150"/>
      <c r="C54" s="142"/>
      <c r="D54" s="142"/>
      <c r="E54" s="142"/>
      <c r="F54" s="142"/>
    </row>
    <row r="55" spans="1:6" x14ac:dyDescent="0.25">
      <c r="D55" s="150"/>
      <c r="E55" s="150"/>
      <c r="F55" s="150"/>
    </row>
  </sheetData>
  <mergeCells count="16">
    <mergeCell ref="A32:B32"/>
    <mergeCell ref="A1:C1"/>
    <mergeCell ref="A40:B40"/>
    <mergeCell ref="A41:B41"/>
    <mergeCell ref="A42:B42"/>
    <mergeCell ref="A33:B33"/>
    <mergeCell ref="A34:B34"/>
    <mergeCell ref="A35:B35"/>
    <mergeCell ref="A36:B36"/>
    <mergeCell ref="A38:B38"/>
    <mergeCell ref="A39:B39"/>
    <mergeCell ref="A11:A15"/>
    <mergeCell ref="A28:B28"/>
    <mergeCell ref="A29:B29"/>
    <mergeCell ref="A30:B30"/>
    <mergeCell ref="A31:B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35D40-936C-4871-B24E-30F0A169C0A1}">
  <dimension ref="A1:AI137"/>
  <sheetViews>
    <sheetView topLeftCell="A85" zoomScale="60" zoomScaleNormal="60" workbookViewId="0">
      <selection activeCell="A91" sqref="A91"/>
    </sheetView>
  </sheetViews>
  <sheetFormatPr baseColWidth="10" defaultRowHeight="15" x14ac:dyDescent="0.25"/>
  <cols>
    <col min="3" max="3" width="22.42578125" customWidth="1"/>
    <col min="4" max="4" width="42" customWidth="1"/>
    <col min="5" max="5" width="25.140625" customWidth="1"/>
    <col min="6" max="6" width="30.5703125" customWidth="1"/>
    <col min="7" max="7" width="31.28515625" customWidth="1"/>
    <col min="8" max="8" width="28.140625" customWidth="1"/>
    <col min="9" max="9" width="25.42578125" customWidth="1"/>
    <col min="10" max="10" width="30" customWidth="1"/>
    <col min="11" max="11" width="17.28515625" bestFit="1" customWidth="1"/>
    <col min="12" max="12" width="17.5703125" customWidth="1"/>
    <col min="13" max="13" width="23.5703125" customWidth="1"/>
    <col min="14" max="14" width="17.85546875" customWidth="1"/>
    <col min="15" max="15" width="31" customWidth="1"/>
    <col min="16" max="16" width="38.7109375" customWidth="1"/>
    <col min="17" max="17" width="22.140625" customWidth="1"/>
    <col min="18" max="18" width="31.140625" customWidth="1"/>
    <col min="19" max="19" width="23.140625" customWidth="1"/>
    <col min="20" max="20" width="20.7109375" customWidth="1"/>
    <col min="21" max="21" width="30.85546875" customWidth="1"/>
    <col min="22" max="22" width="24.28515625" customWidth="1"/>
    <col min="23" max="23" width="22.5703125" customWidth="1"/>
    <col min="24" max="24" width="31" customWidth="1"/>
    <col min="25" max="25" width="18.28515625" customWidth="1"/>
    <col min="26" max="26" width="15.42578125" customWidth="1"/>
    <col min="27" max="27" width="24.28515625" customWidth="1"/>
    <col min="28" max="28" width="18" customWidth="1"/>
    <col min="29" max="29" width="24" customWidth="1"/>
    <col min="30" max="30" width="28" customWidth="1"/>
    <col min="31" max="31" width="26.85546875" customWidth="1"/>
  </cols>
  <sheetData>
    <row r="1" spans="1:35" ht="16.5" thickBot="1" x14ac:dyDescent="0.3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</row>
    <row r="2" spans="1:35" ht="16.5" thickBot="1" x14ac:dyDescent="0.3">
      <c r="A2" s="175"/>
      <c r="B2" s="176"/>
      <c r="C2" s="177"/>
      <c r="D2" s="177"/>
      <c r="E2" s="177"/>
      <c r="F2" s="177"/>
      <c r="G2" s="177"/>
      <c r="H2" s="177"/>
      <c r="I2" s="177"/>
      <c r="J2" s="178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</row>
    <row r="3" spans="1:35" ht="19.5" thickBot="1" x14ac:dyDescent="0.35">
      <c r="A3" s="175"/>
      <c r="B3" s="179"/>
      <c r="C3" s="587" t="s">
        <v>128</v>
      </c>
      <c r="D3" s="588"/>
      <c r="E3" s="588"/>
      <c r="F3" s="588"/>
      <c r="G3" s="588"/>
      <c r="H3" s="588"/>
      <c r="I3" s="589"/>
      <c r="J3" s="180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</row>
    <row r="4" spans="1:35" ht="19.5" thickBot="1" x14ac:dyDescent="0.35">
      <c r="A4" s="175"/>
      <c r="B4" s="179"/>
      <c r="C4" s="181"/>
      <c r="D4" s="181"/>
      <c r="E4" s="181"/>
      <c r="F4" s="181"/>
      <c r="G4" s="181"/>
      <c r="H4" s="181"/>
      <c r="I4" s="181"/>
      <c r="J4" s="180"/>
      <c r="K4" s="175"/>
      <c r="L4" s="175"/>
      <c r="M4" s="182" t="s">
        <v>129</v>
      </c>
      <c r="N4" s="177"/>
      <c r="O4" s="177"/>
      <c r="P4" s="177"/>
      <c r="Q4" s="177"/>
      <c r="R4" s="178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</row>
    <row r="5" spans="1:35" ht="16.5" thickBot="1" x14ac:dyDescent="0.3">
      <c r="A5" s="175"/>
      <c r="B5" s="179"/>
      <c r="C5" s="183"/>
      <c r="D5" s="183"/>
      <c r="E5" s="183"/>
      <c r="F5" s="183" t="s">
        <v>130</v>
      </c>
      <c r="G5" s="184">
        <v>0.05</v>
      </c>
      <c r="H5" s="183"/>
      <c r="I5" s="183"/>
      <c r="J5" s="180"/>
      <c r="K5" s="175"/>
      <c r="L5" s="175"/>
      <c r="M5" s="185"/>
      <c r="N5" s="183"/>
      <c r="O5" s="183"/>
      <c r="P5" s="183"/>
      <c r="Q5" s="183"/>
      <c r="R5" s="180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</row>
    <row r="6" spans="1:35" ht="16.5" thickBot="1" x14ac:dyDescent="0.3">
      <c r="A6" s="175"/>
      <c r="B6" s="179"/>
      <c r="C6" s="183"/>
      <c r="D6" s="183"/>
      <c r="E6" s="183"/>
      <c r="F6" s="183" t="s">
        <v>131</v>
      </c>
      <c r="G6" s="183">
        <v>1</v>
      </c>
      <c r="H6" s="183">
        <v>2</v>
      </c>
      <c r="I6" s="183"/>
      <c r="J6" s="180"/>
      <c r="K6" s="175"/>
      <c r="L6" s="175"/>
      <c r="M6" s="185" t="s">
        <v>132</v>
      </c>
      <c r="N6" s="183"/>
      <c r="O6" s="183"/>
      <c r="P6" s="183"/>
      <c r="Q6" s="183"/>
      <c r="R6" s="180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</row>
    <row r="7" spans="1:35" ht="16.5" thickBot="1" x14ac:dyDescent="0.3">
      <c r="A7" s="175"/>
      <c r="B7" s="179"/>
      <c r="C7" s="590" t="s">
        <v>133</v>
      </c>
      <c r="D7" s="591"/>
      <c r="E7" s="186" t="s">
        <v>134</v>
      </c>
      <c r="F7" s="187" t="s">
        <v>135</v>
      </c>
      <c r="G7" s="188" t="s">
        <v>136</v>
      </c>
      <c r="H7" s="189" t="s">
        <v>137</v>
      </c>
      <c r="I7" s="190" t="s">
        <v>138</v>
      </c>
      <c r="J7" s="180"/>
      <c r="K7" s="175"/>
      <c r="L7" s="175"/>
      <c r="M7" s="185"/>
      <c r="N7" s="183"/>
      <c r="O7" s="183"/>
      <c r="P7" s="183"/>
      <c r="Q7" s="183"/>
      <c r="R7" s="180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</row>
    <row r="8" spans="1:35" ht="15.75" x14ac:dyDescent="0.25">
      <c r="A8" s="175"/>
      <c r="B8" s="179"/>
      <c r="C8" s="592" t="s">
        <v>139</v>
      </c>
      <c r="D8" s="593"/>
      <c r="E8" s="191">
        <v>18970000</v>
      </c>
      <c r="F8" s="192">
        <v>20250000</v>
      </c>
      <c r="G8" s="193">
        <f>(E8*(1+$G$5))</f>
        <v>19918500</v>
      </c>
      <c r="H8" s="194">
        <f>(F8-G8)/(G8)</f>
        <v>1.6642819489419383E-2</v>
      </c>
      <c r="I8" s="195" t="s">
        <v>143</v>
      </c>
      <c r="J8" s="180"/>
      <c r="K8" s="175"/>
      <c r="L8" s="175"/>
      <c r="M8" s="179"/>
      <c r="N8" s="183"/>
      <c r="O8" s="183"/>
      <c r="P8" s="183"/>
      <c r="Q8" s="183"/>
      <c r="R8" s="180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</row>
    <row r="9" spans="1:35" ht="15.75" x14ac:dyDescent="0.25">
      <c r="A9" s="175"/>
      <c r="B9" s="179"/>
      <c r="C9" s="594" t="s">
        <v>141</v>
      </c>
      <c r="D9" s="595"/>
      <c r="E9" s="196">
        <v>23450000</v>
      </c>
      <c r="F9" s="197">
        <v>25450000</v>
      </c>
      <c r="G9" s="198">
        <f t="shared" ref="G9:G10" si="0">(E9*(1+$G$5))</f>
        <v>24622500</v>
      </c>
      <c r="H9" s="199">
        <f t="shared" ref="H9:H12" si="1">(F9-G9)/(G9)</f>
        <v>3.3607472839882219E-2</v>
      </c>
      <c r="I9" s="200" t="s">
        <v>140</v>
      </c>
      <c r="J9" s="180"/>
      <c r="K9" s="175"/>
      <c r="L9" s="175"/>
      <c r="M9" s="185"/>
      <c r="N9" s="183"/>
      <c r="O9" s="183"/>
      <c r="P9" s="183"/>
      <c r="Q9" s="183"/>
      <c r="R9" s="180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  <c r="AH9" s="175"/>
      <c r="AI9" s="175"/>
    </row>
    <row r="10" spans="1:35" ht="15.75" x14ac:dyDescent="0.25">
      <c r="A10" s="175"/>
      <c r="B10" s="179"/>
      <c r="C10" s="596" t="s">
        <v>142</v>
      </c>
      <c r="D10" s="597"/>
      <c r="E10" s="196">
        <v>2345000</v>
      </c>
      <c r="F10" s="197">
        <v>2560000</v>
      </c>
      <c r="G10" s="198">
        <f t="shared" si="0"/>
        <v>2462250</v>
      </c>
      <c r="H10" s="199">
        <f t="shared" si="1"/>
        <v>3.9699461874301963E-2</v>
      </c>
      <c r="I10" s="201" t="s">
        <v>140</v>
      </c>
      <c r="J10" s="180"/>
      <c r="K10" s="175"/>
      <c r="L10" s="175"/>
      <c r="M10" s="185" t="s">
        <v>144</v>
      </c>
      <c r="N10" s="183"/>
      <c r="O10" s="183"/>
      <c r="P10" s="183"/>
      <c r="Q10" s="183"/>
      <c r="R10" s="180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</row>
    <row r="11" spans="1:35" ht="15.75" x14ac:dyDescent="0.25">
      <c r="A11" s="175"/>
      <c r="B11" s="179"/>
      <c r="C11" s="585" t="s">
        <v>145</v>
      </c>
      <c r="D11" s="586"/>
      <c r="E11" s="196">
        <v>8790000</v>
      </c>
      <c r="F11" s="197">
        <v>9400000</v>
      </c>
      <c r="G11" s="198">
        <f>(E11*(1+$G$5))</f>
        <v>9229500</v>
      </c>
      <c r="H11" s="199">
        <f t="shared" si="1"/>
        <v>1.8473373422178883E-2</v>
      </c>
      <c r="I11" s="202" t="s">
        <v>143</v>
      </c>
      <c r="J11" s="180"/>
      <c r="K11" s="175"/>
      <c r="L11" s="175"/>
      <c r="M11" s="185"/>
      <c r="N11" s="183"/>
      <c r="O11" s="183"/>
      <c r="P11" s="183"/>
      <c r="Q11" s="183"/>
      <c r="R11" s="180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</row>
    <row r="12" spans="1:35" ht="15.75" x14ac:dyDescent="0.25">
      <c r="A12" s="175"/>
      <c r="B12" s="179"/>
      <c r="C12" s="603" t="s">
        <v>301</v>
      </c>
      <c r="D12" s="604"/>
      <c r="E12" s="203">
        <v>8000000</v>
      </c>
      <c r="F12" s="204">
        <v>8000000</v>
      </c>
      <c r="G12" s="198">
        <f>(E12*(1+$G$5))</f>
        <v>8400000</v>
      </c>
      <c r="H12" s="194">
        <f t="shared" si="1"/>
        <v>-4.7619047619047616E-2</v>
      </c>
      <c r="I12" s="202" t="s">
        <v>146</v>
      </c>
      <c r="J12" s="180"/>
      <c r="K12" s="175"/>
      <c r="L12" s="175"/>
      <c r="M12" s="185" t="s">
        <v>147</v>
      </c>
      <c r="N12" s="183"/>
      <c r="O12" s="183"/>
      <c r="P12" s="183"/>
      <c r="Q12" s="183"/>
      <c r="R12" s="180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</row>
    <row r="13" spans="1:35" ht="15.75" x14ac:dyDescent="0.25">
      <c r="A13" s="175"/>
      <c r="B13" s="179"/>
      <c r="C13" s="605"/>
      <c r="D13" s="606"/>
      <c r="E13" s="205"/>
      <c r="F13" s="205"/>
      <c r="G13" s="206"/>
      <c r="H13" s="207"/>
      <c r="I13" s="202"/>
      <c r="J13" s="180"/>
      <c r="K13" s="175"/>
      <c r="L13" s="175"/>
      <c r="M13" s="185"/>
      <c r="N13" s="183"/>
      <c r="O13" s="183"/>
      <c r="P13" s="183"/>
      <c r="Q13" s="183"/>
      <c r="R13" s="180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</row>
    <row r="14" spans="1:35" ht="15.75" x14ac:dyDescent="0.25">
      <c r="A14" s="175"/>
      <c r="B14" s="179"/>
      <c r="C14" s="605"/>
      <c r="D14" s="606"/>
      <c r="E14" s="205"/>
      <c r="F14" s="205"/>
      <c r="G14" s="208"/>
      <c r="H14" s="207"/>
      <c r="I14" s="202"/>
      <c r="J14" s="180"/>
      <c r="K14" s="175"/>
      <c r="L14" s="175"/>
      <c r="M14" s="179"/>
      <c r="N14" s="183"/>
      <c r="O14" s="183"/>
      <c r="P14" s="183"/>
      <c r="Q14" s="183"/>
      <c r="R14" s="180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</row>
    <row r="15" spans="1:35" ht="15.75" x14ac:dyDescent="0.25">
      <c r="A15" s="175"/>
      <c r="B15" s="179"/>
      <c r="C15" s="605"/>
      <c r="D15" s="606"/>
      <c r="E15" s="205"/>
      <c r="F15" s="205"/>
      <c r="G15" s="206"/>
      <c r="H15" s="207"/>
      <c r="I15" s="202"/>
      <c r="J15" s="180"/>
      <c r="K15" s="175"/>
      <c r="L15" s="175"/>
      <c r="M15" s="185"/>
      <c r="N15" s="183"/>
      <c r="O15" s="183"/>
      <c r="P15" s="183"/>
      <c r="Q15" s="183"/>
      <c r="R15" s="180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</row>
    <row r="16" spans="1:35" ht="16.5" thickBot="1" x14ac:dyDescent="0.3">
      <c r="A16" s="175"/>
      <c r="B16" s="179"/>
      <c r="C16" s="607"/>
      <c r="D16" s="608"/>
      <c r="E16" s="209"/>
      <c r="F16" s="209"/>
      <c r="G16" s="210"/>
      <c r="H16" s="211"/>
      <c r="I16" s="212"/>
      <c r="J16" s="180"/>
      <c r="K16" s="175"/>
      <c r="L16" s="175"/>
      <c r="M16" s="185" t="s">
        <v>148</v>
      </c>
      <c r="N16" s="183"/>
      <c r="O16" s="183"/>
      <c r="P16" s="183"/>
      <c r="Q16" s="183"/>
      <c r="R16" s="180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</row>
    <row r="17" spans="1:35" ht="16.5" thickBot="1" x14ac:dyDescent="0.3">
      <c r="A17" s="175"/>
      <c r="B17" s="179"/>
      <c r="C17" s="183"/>
      <c r="D17" s="183"/>
      <c r="E17" s="183"/>
      <c r="F17" s="183"/>
      <c r="G17" s="183"/>
      <c r="H17" s="213"/>
      <c r="I17" s="183"/>
      <c r="J17" s="180"/>
      <c r="K17" s="175"/>
      <c r="L17" s="175"/>
      <c r="M17" s="185"/>
      <c r="N17" s="183"/>
      <c r="O17" s="183"/>
      <c r="P17" s="183"/>
      <c r="Q17" s="183"/>
      <c r="R17" s="180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</row>
    <row r="18" spans="1:35" ht="15.75" x14ac:dyDescent="0.25">
      <c r="A18" s="175"/>
      <c r="B18" s="179"/>
      <c r="C18" s="584"/>
      <c r="D18" s="214" t="s">
        <v>149</v>
      </c>
      <c r="E18" s="215"/>
      <c r="F18" s="216">
        <f>+P.PRODUCCION!D32+P.PRODUCCION!R32+P.PRODUCCION!AF32</f>
        <v>13537</v>
      </c>
      <c r="G18" s="217" t="s">
        <v>137</v>
      </c>
      <c r="H18" s="598">
        <f>(F19-F18)/(F18)</f>
        <v>2.5042476176405409E-2</v>
      </c>
      <c r="I18" s="600">
        <f>+H18/4</f>
        <v>6.2606190441013522E-3</v>
      </c>
      <c r="J18" s="180"/>
      <c r="K18" s="175"/>
      <c r="L18" s="175"/>
      <c r="M18" s="179"/>
      <c r="N18" s="183"/>
      <c r="O18" s="183"/>
      <c r="P18" s="183"/>
      <c r="Q18" s="183"/>
      <c r="R18" s="180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</row>
    <row r="19" spans="1:35" ht="16.5" thickBot="1" x14ac:dyDescent="0.3">
      <c r="A19" s="175"/>
      <c r="B19" s="179"/>
      <c r="C19" s="584"/>
      <c r="D19" s="218" t="s">
        <v>150</v>
      </c>
      <c r="E19" s="210"/>
      <c r="F19" s="219">
        <f>+P.PRODUCCION!D33+P.PRODUCCION!R33+P.PRODUCCION!AF33</f>
        <v>13876</v>
      </c>
      <c r="G19" s="217"/>
      <c r="H19" s="599"/>
      <c r="I19" s="600"/>
      <c r="J19" s="180"/>
      <c r="K19" s="175"/>
      <c r="L19" s="175"/>
      <c r="M19" s="185"/>
      <c r="N19" s="183"/>
      <c r="O19" s="183"/>
      <c r="P19" s="183"/>
      <c r="Q19" s="183"/>
      <c r="R19" s="180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</row>
    <row r="20" spans="1:35" ht="16.5" thickBot="1" x14ac:dyDescent="0.3">
      <c r="A20" s="175"/>
      <c r="B20" s="179"/>
      <c r="C20" s="175"/>
      <c r="D20" s="183"/>
      <c r="E20" s="183"/>
      <c r="F20" s="220"/>
      <c r="G20" s="217"/>
      <c r="H20" s="221"/>
      <c r="I20" s="221"/>
      <c r="J20" s="180"/>
      <c r="K20" s="175"/>
      <c r="L20" s="175"/>
      <c r="M20" s="185" t="s">
        <v>148</v>
      </c>
      <c r="N20" s="183"/>
      <c r="O20" s="183"/>
      <c r="P20" s="183"/>
      <c r="Q20" s="183"/>
      <c r="R20" s="180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</row>
    <row r="21" spans="1:35" ht="15.75" x14ac:dyDescent="0.25">
      <c r="A21" s="175"/>
      <c r="B21" s="179"/>
      <c r="C21" s="175"/>
      <c r="D21" s="222" t="s">
        <v>216</v>
      </c>
      <c r="E21" s="223"/>
      <c r="F21" s="224">
        <f>+P.PRODUCCION!C79+P.PRODUCCION!Q79+P.PRODUCCION!AE79</f>
        <v>13485</v>
      </c>
      <c r="G21" s="217" t="s">
        <v>137</v>
      </c>
      <c r="H21" s="601">
        <f>(F21-F19)/(F19)</f>
        <v>-2.8178149322571348E-2</v>
      </c>
      <c r="I21" s="183"/>
      <c r="J21" s="180"/>
      <c r="K21" s="175"/>
      <c r="L21" s="175"/>
      <c r="M21" s="185"/>
      <c r="N21" s="183"/>
      <c r="O21" s="183"/>
      <c r="P21" s="183"/>
      <c r="Q21" s="183"/>
      <c r="R21" s="180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</row>
    <row r="22" spans="1:35" ht="16.5" thickBot="1" x14ac:dyDescent="0.3">
      <c r="A22" s="175"/>
      <c r="B22" s="179"/>
      <c r="C22" s="175"/>
      <c r="D22" s="218" t="s">
        <v>151</v>
      </c>
      <c r="E22" s="210"/>
      <c r="F22" s="225"/>
      <c r="G22" s="217"/>
      <c r="H22" s="602"/>
      <c r="I22" s="183"/>
      <c r="J22" s="180"/>
      <c r="K22" s="175"/>
      <c r="L22" s="175"/>
      <c r="M22" s="185" t="s">
        <v>152</v>
      </c>
      <c r="N22" s="183"/>
      <c r="O22" s="183"/>
      <c r="P22" s="183"/>
      <c r="Q22" s="183"/>
      <c r="R22" s="180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</row>
    <row r="23" spans="1:35" ht="16.5" thickBot="1" x14ac:dyDescent="0.3">
      <c r="A23" s="175"/>
      <c r="B23" s="179"/>
      <c r="C23" s="183"/>
      <c r="D23" s="183"/>
      <c r="E23" s="183"/>
      <c r="F23" s="183"/>
      <c r="G23" s="183"/>
      <c r="H23" s="183"/>
      <c r="I23" s="183"/>
      <c r="J23" s="180"/>
      <c r="K23" s="175"/>
      <c r="L23" s="175"/>
      <c r="M23" s="179"/>
      <c r="N23" s="183"/>
      <c r="O23" s="183"/>
      <c r="P23" s="183"/>
      <c r="Q23" s="183"/>
      <c r="R23" s="180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</row>
    <row r="24" spans="1:35" ht="16.5" thickBot="1" x14ac:dyDescent="0.3">
      <c r="A24" s="175"/>
      <c r="B24" s="179"/>
      <c r="C24" s="577" t="s">
        <v>153</v>
      </c>
      <c r="D24" s="578"/>
      <c r="E24" s="578"/>
      <c r="F24" s="578"/>
      <c r="G24" s="579"/>
      <c r="H24" s="183"/>
      <c r="I24" s="183"/>
      <c r="J24" s="180"/>
      <c r="K24" s="175"/>
      <c r="L24" s="175"/>
      <c r="M24" s="185"/>
      <c r="N24" s="183"/>
      <c r="O24" s="183"/>
      <c r="P24" s="183"/>
      <c r="Q24" s="183"/>
      <c r="R24" s="180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</row>
    <row r="25" spans="1:35" ht="15.75" x14ac:dyDescent="0.25">
      <c r="A25" s="175"/>
      <c r="B25" s="179"/>
      <c r="C25" s="226" t="s">
        <v>154</v>
      </c>
      <c r="D25" s="227">
        <v>0</v>
      </c>
      <c r="E25" s="228" t="s">
        <v>155</v>
      </c>
      <c r="F25" s="229">
        <f>0+I18</f>
        <v>6.2606190441013522E-3</v>
      </c>
      <c r="G25" s="230" t="s">
        <v>146</v>
      </c>
      <c r="H25" s="183"/>
      <c r="I25" s="183"/>
      <c r="J25" s="180"/>
      <c r="K25" s="175"/>
      <c r="L25" s="175"/>
      <c r="M25" s="185" t="s">
        <v>156</v>
      </c>
      <c r="N25" s="183"/>
      <c r="O25" s="183"/>
      <c r="P25" s="183"/>
      <c r="Q25" s="183"/>
      <c r="R25" s="180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</row>
    <row r="26" spans="1:35" ht="15.75" x14ac:dyDescent="0.25">
      <c r="A26" s="175"/>
      <c r="B26" s="179"/>
      <c r="C26" s="231" t="s">
        <v>154</v>
      </c>
      <c r="D26" s="232">
        <f>F25</f>
        <v>6.2606190441013522E-3</v>
      </c>
      <c r="E26" s="233" t="s">
        <v>155</v>
      </c>
      <c r="F26" s="232">
        <f>2*I18</f>
        <v>1.2521238088202704E-2</v>
      </c>
      <c r="G26" s="234" t="s">
        <v>157</v>
      </c>
      <c r="H26" s="183"/>
      <c r="I26" s="183"/>
      <c r="J26" s="180"/>
      <c r="K26" s="175"/>
      <c r="L26" s="175"/>
      <c r="M26" s="185"/>
      <c r="N26" s="183"/>
      <c r="O26" s="183"/>
      <c r="P26" s="183"/>
      <c r="Q26" s="183"/>
      <c r="R26" s="180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</row>
    <row r="27" spans="1:35" ht="15.75" x14ac:dyDescent="0.25">
      <c r="A27" s="175"/>
      <c r="B27" s="235"/>
      <c r="C27" s="231" t="s">
        <v>154</v>
      </c>
      <c r="D27" s="232">
        <f>F26</f>
        <v>1.2521238088202704E-2</v>
      </c>
      <c r="E27" s="233" t="s">
        <v>155</v>
      </c>
      <c r="F27" s="232">
        <f>I18*3</f>
        <v>1.8781857132304056E-2</v>
      </c>
      <c r="G27" s="234" t="s">
        <v>143</v>
      </c>
      <c r="H27" s="183"/>
      <c r="I27" s="183"/>
      <c r="J27" s="180"/>
      <c r="K27" s="175"/>
      <c r="L27" s="175"/>
      <c r="M27" s="179"/>
      <c r="N27" s="183"/>
      <c r="O27" s="183"/>
      <c r="P27" s="183"/>
      <c r="Q27" s="183"/>
      <c r="R27" s="180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</row>
    <row r="28" spans="1:35" ht="16.5" thickBot="1" x14ac:dyDescent="0.3">
      <c r="A28" s="175"/>
      <c r="B28" s="179"/>
      <c r="C28" s="236" t="s">
        <v>154</v>
      </c>
      <c r="D28" s="237">
        <f>F27</f>
        <v>1.8781857132304056E-2</v>
      </c>
      <c r="E28" s="238" t="s">
        <v>155</v>
      </c>
      <c r="F28" s="237">
        <f>I18*4</f>
        <v>2.5042476176405409E-2</v>
      </c>
      <c r="G28" s="239" t="s">
        <v>140</v>
      </c>
      <c r="H28" s="183"/>
      <c r="I28" s="183"/>
      <c r="J28" s="180"/>
      <c r="K28" s="175"/>
      <c r="L28" s="175"/>
      <c r="M28" s="185"/>
      <c r="N28" s="183"/>
      <c r="O28" s="183"/>
      <c r="P28" s="183"/>
      <c r="Q28" s="183"/>
      <c r="R28" s="180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</row>
    <row r="29" spans="1:35" ht="15.75" x14ac:dyDescent="0.25">
      <c r="A29" s="175"/>
      <c r="B29" s="179"/>
      <c r="C29" s="183"/>
      <c r="D29" s="183"/>
      <c r="E29" s="183"/>
      <c r="F29" s="183"/>
      <c r="G29" s="183"/>
      <c r="H29" s="183"/>
      <c r="I29" s="183"/>
      <c r="J29" s="180"/>
      <c r="K29" s="175"/>
      <c r="L29" s="175"/>
      <c r="M29" s="185" t="s">
        <v>148</v>
      </c>
      <c r="N29" s="183"/>
      <c r="O29" s="183"/>
      <c r="P29" s="183"/>
      <c r="Q29" s="183"/>
      <c r="R29" s="180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</row>
    <row r="30" spans="1:35" ht="15.75" x14ac:dyDescent="0.25">
      <c r="A30" s="175"/>
      <c r="B30" s="179"/>
      <c r="C30" s="183"/>
      <c r="D30" s="183"/>
      <c r="E30" s="183"/>
      <c r="F30" s="183"/>
      <c r="G30" s="183"/>
      <c r="H30" s="183"/>
      <c r="I30" s="183"/>
      <c r="J30" s="180"/>
      <c r="K30" s="175"/>
      <c r="L30" s="175"/>
      <c r="M30" s="185"/>
      <c r="N30" s="183"/>
      <c r="O30" s="183"/>
      <c r="P30" s="183"/>
      <c r="Q30" s="183"/>
      <c r="R30" s="180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</row>
    <row r="31" spans="1:35" ht="16.5" thickBot="1" x14ac:dyDescent="0.3">
      <c r="A31" s="175"/>
      <c r="B31" s="179"/>
      <c r="C31" s="183"/>
      <c r="D31" s="183"/>
      <c r="E31" s="183"/>
      <c r="F31" s="183"/>
      <c r="G31" s="183"/>
      <c r="H31" s="183"/>
      <c r="I31" s="183"/>
      <c r="J31" s="180"/>
      <c r="K31" s="175"/>
      <c r="L31" s="175"/>
      <c r="M31" s="179"/>
      <c r="N31" s="183"/>
      <c r="O31" s="183"/>
      <c r="P31" s="183"/>
      <c r="Q31" s="183"/>
      <c r="R31" s="180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</row>
    <row r="32" spans="1:35" ht="16.5" thickBot="1" x14ac:dyDescent="0.3">
      <c r="A32" s="175"/>
      <c r="B32" s="179"/>
      <c r="C32" s="183"/>
      <c r="D32" s="240" t="str">
        <f t="shared" ref="D32:D41" si="2">C7</f>
        <v>Componente del CIF</v>
      </c>
      <c r="E32" s="241"/>
      <c r="F32" s="190" t="s">
        <v>158</v>
      </c>
      <c r="G32" s="242" t="s">
        <v>159</v>
      </c>
      <c r="H32" s="183"/>
      <c r="I32" s="243" t="s">
        <v>160</v>
      </c>
      <c r="J32" s="180"/>
      <c r="K32" s="175"/>
      <c r="L32" s="175"/>
      <c r="M32" s="185"/>
      <c r="N32" s="183"/>
      <c r="O32" s="183"/>
      <c r="P32" s="183"/>
      <c r="Q32" s="183"/>
      <c r="R32" s="180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</row>
    <row r="33" spans="1:35" ht="16.5" thickBot="1" x14ac:dyDescent="0.3">
      <c r="A33" s="175"/>
      <c r="B33" s="179"/>
      <c r="C33" s="183"/>
      <c r="D33" s="580" t="str">
        <f t="shared" si="2"/>
        <v>MANO DE OBRA INDIRECTA</v>
      </c>
      <c r="E33" s="581"/>
      <c r="F33" s="244">
        <f>R42</f>
        <v>6680991.1504424885</v>
      </c>
      <c r="G33" s="245">
        <f>+I33-F33</f>
        <v>13569008.849557512</v>
      </c>
      <c r="H33" s="183"/>
      <c r="I33" s="246">
        <f>F8</f>
        <v>20250000</v>
      </c>
      <c r="J33" s="180"/>
      <c r="K33" s="175"/>
      <c r="L33" s="175"/>
      <c r="M33" s="247" t="s">
        <v>161</v>
      </c>
      <c r="N33" s="248"/>
      <c r="O33" s="248"/>
      <c r="P33" s="248"/>
      <c r="Q33" s="248"/>
      <c r="R33" s="249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</row>
    <row r="34" spans="1:35" ht="16.5" thickBot="1" x14ac:dyDescent="0.3">
      <c r="A34" s="175"/>
      <c r="B34" s="179"/>
      <c r="C34" s="183"/>
      <c r="D34" s="582" t="str">
        <f>C9</f>
        <v>MATERIA PRIMA INDIRECTA</v>
      </c>
      <c r="E34" s="583"/>
      <c r="F34" s="250"/>
      <c r="G34" s="251">
        <f>+I34-F34</f>
        <v>25450000</v>
      </c>
      <c r="H34" s="183"/>
      <c r="I34" s="252">
        <f>F9</f>
        <v>25450000</v>
      </c>
      <c r="J34" s="180"/>
      <c r="K34" s="175"/>
      <c r="L34" s="175"/>
      <c r="M34" s="253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</row>
    <row r="35" spans="1:35" ht="16.5" thickBot="1" x14ac:dyDescent="0.3">
      <c r="A35" s="175"/>
      <c r="B35" s="179"/>
      <c r="C35" s="183"/>
      <c r="D35" s="582" t="str">
        <f t="shared" si="2"/>
        <v>MANTENIMIENTO</v>
      </c>
      <c r="E35" s="583"/>
      <c r="F35" s="250"/>
      <c r="G35" s="251">
        <f>+I35-F35</f>
        <v>2560000</v>
      </c>
      <c r="H35" s="183"/>
      <c r="I35" s="252">
        <f t="shared" ref="I35:I41" si="3">F10</f>
        <v>2560000</v>
      </c>
      <c r="J35" s="180"/>
      <c r="K35" s="175"/>
      <c r="L35" s="371"/>
      <c r="M35" s="372" t="s">
        <v>237</v>
      </c>
      <c r="N35" s="372" t="s">
        <v>238</v>
      </c>
      <c r="O35" s="373"/>
      <c r="P35" s="371"/>
      <c r="Q35" s="372" t="s">
        <v>237</v>
      </c>
      <c r="R35" s="372" t="s">
        <v>238</v>
      </c>
      <c r="S35" s="373"/>
      <c r="T35" s="371"/>
      <c r="U35" s="372" t="s">
        <v>237</v>
      </c>
      <c r="V35" s="372" t="s">
        <v>238</v>
      </c>
      <c r="W35" s="373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  <c r="AH35" s="175"/>
      <c r="AI35" s="175"/>
    </row>
    <row r="36" spans="1:35" ht="16.5" thickBot="1" x14ac:dyDescent="0.3">
      <c r="A36" s="175"/>
      <c r="B36" s="179"/>
      <c r="C36" s="183"/>
      <c r="D36" s="573" t="str">
        <f t="shared" si="2"/>
        <v>SEGURIDAD</v>
      </c>
      <c r="E36" s="574"/>
      <c r="F36" s="244">
        <f>V42</f>
        <v>2421067.8466076748</v>
      </c>
      <c r="G36" s="245">
        <f t="shared" ref="G36:G37" si="4">+I36-F36</f>
        <v>6978932.1533923252</v>
      </c>
      <c r="H36" s="183"/>
      <c r="I36" s="252">
        <f t="shared" si="3"/>
        <v>9400000</v>
      </c>
      <c r="J36" s="180"/>
      <c r="K36" s="175"/>
      <c r="L36" s="235" t="s">
        <v>239</v>
      </c>
      <c r="M36" s="374">
        <v>1</v>
      </c>
      <c r="N36" s="374">
        <v>1</v>
      </c>
      <c r="O36" s="375"/>
      <c r="P36" s="386" t="s">
        <v>239</v>
      </c>
      <c r="Q36" s="374">
        <v>1</v>
      </c>
      <c r="R36" s="374">
        <v>1</v>
      </c>
      <c r="S36" s="375">
        <f>G8</f>
        <v>19918500</v>
      </c>
      <c r="T36" s="235" t="s">
        <v>239</v>
      </c>
      <c r="U36" s="374">
        <v>1</v>
      </c>
      <c r="V36" s="374">
        <v>1</v>
      </c>
      <c r="W36" s="375">
        <f>G11</f>
        <v>9229500</v>
      </c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5"/>
      <c r="AI36" s="175"/>
    </row>
    <row r="37" spans="1:35" ht="15.75" x14ac:dyDescent="0.25">
      <c r="A37" s="175"/>
      <c r="B37" s="179"/>
      <c r="C37" s="183"/>
      <c r="D37" s="573" t="str">
        <f t="shared" si="2"/>
        <v>DEPRECIACION</v>
      </c>
      <c r="E37" s="574"/>
      <c r="F37" s="254">
        <f>+F12</f>
        <v>8000000</v>
      </c>
      <c r="G37" s="251">
        <f t="shared" si="4"/>
        <v>0</v>
      </c>
      <c r="H37" s="183"/>
      <c r="I37" s="252">
        <f t="shared" si="3"/>
        <v>8000000</v>
      </c>
      <c r="J37" s="180"/>
      <c r="K37" s="175"/>
      <c r="L37" s="235" t="s">
        <v>240</v>
      </c>
      <c r="M37" s="374">
        <v>1</v>
      </c>
      <c r="N37" s="376"/>
      <c r="O37" s="377"/>
      <c r="P37" s="386" t="s">
        <v>240</v>
      </c>
      <c r="Q37" s="374">
        <v>1</v>
      </c>
      <c r="R37" s="376">
        <f>1+H18</f>
        <v>1.0250424761764054</v>
      </c>
      <c r="S37" s="377">
        <f>F8</f>
        <v>20250000</v>
      </c>
      <c r="T37" s="235" t="s">
        <v>240</v>
      </c>
      <c r="U37" s="374">
        <v>1</v>
      </c>
      <c r="V37" s="376">
        <f>1+H18</f>
        <v>1.0250424761764054</v>
      </c>
      <c r="W37" s="377">
        <f>F11</f>
        <v>9400000</v>
      </c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175"/>
      <c r="AI37" s="175"/>
    </row>
    <row r="38" spans="1:35" ht="15.75" x14ac:dyDescent="0.25">
      <c r="A38" s="175"/>
      <c r="B38" s="179"/>
      <c r="C38" s="183"/>
      <c r="D38" s="573">
        <f t="shared" si="2"/>
        <v>0</v>
      </c>
      <c r="E38" s="574"/>
      <c r="F38" s="255"/>
      <c r="G38" s="256"/>
      <c r="H38" s="183"/>
      <c r="I38" s="252">
        <f t="shared" si="3"/>
        <v>0</v>
      </c>
      <c r="J38" s="180"/>
      <c r="K38" s="175"/>
      <c r="L38" s="235"/>
      <c r="M38" s="378">
        <f>+M36-M37</f>
        <v>0</v>
      </c>
      <c r="N38" s="378">
        <f t="shared" ref="N38:O38" si="5">+N36-N37</f>
        <v>1</v>
      </c>
      <c r="O38" s="379">
        <f t="shared" si="5"/>
        <v>0</v>
      </c>
      <c r="P38" s="235"/>
      <c r="Q38" s="378">
        <f>+Q36-Q37</f>
        <v>0</v>
      </c>
      <c r="R38" s="387">
        <f>+R36-R37</f>
        <v>-2.5042476176405426E-2</v>
      </c>
      <c r="S38" s="379">
        <f t="shared" ref="S38" si="6">+S36-S37</f>
        <v>-331500</v>
      </c>
      <c r="T38" s="235"/>
      <c r="U38" s="378">
        <f>+U36-U37</f>
        <v>0</v>
      </c>
      <c r="V38" s="378">
        <f t="shared" ref="V38:W38" si="7">+V36-V37</f>
        <v>-2.5042476176405426E-2</v>
      </c>
      <c r="W38" s="379">
        <f t="shared" si="7"/>
        <v>-170500</v>
      </c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</row>
    <row r="39" spans="1:35" ht="15.75" x14ac:dyDescent="0.25">
      <c r="A39" s="175"/>
      <c r="B39" s="179"/>
      <c r="C39" s="183"/>
      <c r="D39" s="573">
        <f t="shared" si="2"/>
        <v>0</v>
      </c>
      <c r="E39" s="574"/>
      <c r="F39" s="255"/>
      <c r="G39" s="256"/>
      <c r="H39" s="183"/>
      <c r="I39" s="252">
        <f t="shared" si="3"/>
        <v>0</v>
      </c>
      <c r="J39" s="180"/>
      <c r="K39" s="175"/>
      <c r="L39" s="235"/>
      <c r="M39" s="374"/>
      <c r="N39" s="374"/>
      <c r="O39" s="380"/>
      <c r="P39" s="235"/>
      <c r="Q39" s="374"/>
      <c r="R39" s="374"/>
      <c r="S39" s="380"/>
      <c r="T39" s="235"/>
      <c r="U39" s="374"/>
      <c r="V39" s="374"/>
      <c r="W39" s="380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</row>
    <row r="40" spans="1:35" ht="15.75" x14ac:dyDescent="0.25">
      <c r="A40" s="175"/>
      <c r="B40" s="179"/>
      <c r="C40" s="183"/>
      <c r="D40" s="573">
        <f t="shared" si="2"/>
        <v>0</v>
      </c>
      <c r="E40" s="574"/>
      <c r="F40" s="255"/>
      <c r="G40" s="256"/>
      <c r="H40" s="183"/>
      <c r="I40" s="252">
        <f t="shared" si="3"/>
        <v>0</v>
      </c>
      <c r="J40" s="180"/>
      <c r="K40" s="175"/>
      <c r="L40" s="235"/>
      <c r="M40" s="374"/>
      <c r="N40" s="374" t="s">
        <v>162</v>
      </c>
      <c r="O40" s="381">
        <f>+O38/N38</f>
        <v>0</v>
      </c>
      <c r="P40" s="235"/>
      <c r="Q40" s="374"/>
      <c r="R40" s="374" t="s">
        <v>162</v>
      </c>
      <c r="S40" s="381">
        <f>+S38/R38</f>
        <v>13237508.849557512</v>
      </c>
      <c r="T40" s="235"/>
      <c r="U40" s="374"/>
      <c r="V40" s="374" t="s">
        <v>162</v>
      </c>
      <c r="W40" s="381">
        <f>+W38/V38</f>
        <v>6808432.1533923252</v>
      </c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</row>
    <row r="41" spans="1:35" ht="16.5" thickBot="1" x14ac:dyDescent="0.3">
      <c r="A41" s="175"/>
      <c r="B41" s="179"/>
      <c r="C41" s="175"/>
      <c r="D41" s="575">
        <f t="shared" si="2"/>
        <v>0</v>
      </c>
      <c r="E41" s="576"/>
      <c r="F41" s="257"/>
      <c r="G41" s="258"/>
      <c r="H41" s="183"/>
      <c r="I41" s="259">
        <f t="shared" si="3"/>
        <v>0</v>
      </c>
      <c r="J41" s="180"/>
      <c r="K41" s="175"/>
      <c r="L41" s="235"/>
      <c r="M41" s="374"/>
      <c r="N41" s="374"/>
      <c r="O41" s="380"/>
      <c r="P41" s="235"/>
      <c r="Q41" s="374"/>
      <c r="R41" s="374"/>
      <c r="S41" s="380"/>
      <c r="T41" s="235"/>
      <c r="U41" s="374"/>
      <c r="V41" s="374"/>
      <c r="W41" s="380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</row>
    <row r="42" spans="1:35" ht="16.5" thickBot="1" x14ac:dyDescent="0.3">
      <c r="A42" s="175"/>
      <c r="B42" s="179"/>
      <c r="C42" s="563"/>
      <c r="D42" s="563"/>
      <c r="E42" s="183"/>
      <c r="F42" s="183"/>
      <c r="G42" s="183"/>
      <c r="H42" s="183"/>
      <c r="I42" s="183"/>
      <c r="J42" s="180"/>
      <c r="K42" s="175"/>
      <c r="L42" s="382"/>
      <c r="M42" s="383" t="s">
        <v>163</v>
      </c>
      <c r="N42" s="384">
        <f>+O36-O40</f>
        <v>0</v>
      </c>
      <c r="O42" s="385"/>
      <c r="P42" s="382"/>
      <c r="Q42" s="383" t="s">
        <v>163</v>
      </c>
      <c r="R42" s="384">
        <f>+S36-S40</f>
        <v>6680991.1504424885</v>
      </c>
      <c r="S42" s="385"/>
      <c r="T42" s="382"/>
      <c r="U42" s="383" t="s">
        <v>163</v>
      </c>
      <c r="V42" s="384">
        <f>+W36-W40</f>
        <v>2421067.8466076748</v>
      </c>
      <c r="W42" s="38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</row>
    <row r="43" spans="1:35" ht="15.75" customHeight="1" thickBot="1" x14ac:dyDescent="0.3">
      <c r="A43" s="175"/>
      <c r="B43" s="179"/>
      <c r="C43" s="183"/>
      <c r="D43" s="564" t="s">
        <v>164</v>
      </c>
      <c r="E43" s="565"/>
      <c r="F43" s="565"/>
      <c r="G43" s="566"/>
      <c r="H43" s="183"/>
      <c r="I43" s="569" t="s">
        <v>160</v>
      </c>
      <c r="J43" s="180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</row>
    <row r="44" spans="1:35" ht="16.5" thickBot="1" x14ac:dyDescent="0.3">
      <c r="A44" s="175"/>
      <c r="B44" s="179"/>
      <c r="C44" s="183"/>
      <c r="D44" s="240" t="str">
        <f>D32</f>
        <v>Componente del CIF</v>
      </c>
      <c r="E44" s="241"/>
      <c r="F44" s="190" t="s">
        <v>158</v>
      </c>
      <c r="G44" s="242" t="s">
        <v>159</v>
      </c>
      <c r="H44" s="183"/>
      <c r="I44" s="570"/>
      <c r="J44" s="180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</row>
    <row r="45" spans="1:35" ht="16.5" thickBot="1" x14ac:dyDescent="0.3">
      <c r="A45" s="175"/>
      <c r="B45" s="179"/>
      <c r="C45" s="183"/>
      <c r="D45" s="567" t="str">
        <f>D33</f>
        <v>MANO DE OBRA INDIRECTA</v>
      </c>
      <c r="E45" s="571"/>
      <c r="F45" s="261">
        <f>F33</f>
        <v>6680991.1504424885</v>
      </c>
      <c r="G45" s="262">
        <f>+G33*(1+$H$21)</f>
        <v>13186659.292035388</v>
      </c>
      <c r="H45" s="183"/>
      <c r="I45" s="263">
        <f>F45+G45</f>
        <v>19867650.442477874</v>
      </c>
      <c r="J45" s="180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</row>
    <row r="46" spans="1:35" ht="16.5" thickBot="1" x14ac:dyDescent="0.3">
      <c r="A46" s="175"/>
      <c r="B46" s="179"/>
      <c r="C46" s="183"/>
      <c r="D46" s="558" t="str">
        <f t="shared" ref="D46:D53" si="8">D34</f>
        <v>MATERIA PRIMA INDIRECTA</v>
      </c>
      <c r="E46" s="572"/>
      <c r="F46" s="264">
        <f>F34</f>
        <v>0</v>
      </c>
      <c r="G46" s="262">
        <f>+G34*(1+$H$21)</f>
        <v>24732866.099740561</v>
      </c>
      <c r="H46" s="183"/>
      <c r="I46" s="252">
        <f>F46+G46</f>
        <v>24732866.099740561</v>
      </c>
      <c r="J46" s="180" t="s">
        <v>304</v>
      </c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</row>
    <row r="47" spans="1:35" ht="16.5" thickBot="1" x14ac:dyDescent="0.3">
      <c r="A47" s="175"/>
      <c r="B47" s="179"/>
      <c r="C47" s="183"/>
      <c r="D47" s="558" t="str">
        <f t="shared" si="8"/>
        <v>MANTENIMIENTO</v>
      </c>
      <c r="E47" s="572"/>
      <c r="F47" s="264">
        <f>F35</f>
        <v>0</v>
      </c>
      <c r="G47" s="262">
        <f t="shared" ref="G47" si="9">+G35*(1+$H$21)</f>
        <v>2487863.9377342174</v>
      </c>
      <c r="H47" s="183"/>
      <c r="I47" s="252">
        <f t="shared" ref="I47:I54" si="10">F47+G47</f>
        <v>2487863.9377342174</v>
      </c>
      <c r="J47" s="180"/>
      <c r="K47" s="175"/>
      <c r="L47" s="175"/>
      <c r="M47" s="175"/>
      <c r="N47" s="175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</row>
    <row r="48" spans="1:35" ht="15.75" x14ac:dyDescent="0.25">
      <c r="A48" s="175"/>
      <c r="B48" s="179"/>
      <c r="C48" s="183"/>
      <c r="D48" s="558" t="str">
        <f t="shared" si="8"/>
        <v>SEGURIDAD</v>
      </c>
      <c r="E48" s="572"/>
      <c r="F48" s="264">
        <f>F36</f>
        <v>2421067.8466076748</v>
      </c>
      <c r="G48" s="262">
        <f>+G36*(1+$H$21)</f>
        <v>6782278.7610619422</v>
      </c>
      <c r="H48" s="183"/>
      <c r="I48" s="252">
        <f t="shared" si="10"/>
        <v>9203346.607669618</v>
      </c>
      <c r="J48" s="180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</row>
    <row r="49" spans="1:35" ht="15.75" x14ac:dyDescent="0.25">
      <c r="A49" s="175"/>
      <c r="B49" s="179"/>
      <c r="C49" s="183"/>
      <c r="D49" s="558" t="str">
        <f t="shared" si="8"/>
        <v>DEPRECIACION</v>
      </c>
      <c r="E49" s="572"/>
      <c r="F49" s="264">
        <f t="shared" ref="F49" si="11">IF(F37="semi",0,F37)</f>
        <v>8000000</v>
      </c>
      <c r="G49" s="265"/>
      <c r="H49" s="183"/>
      <c r="I49" s="252">
        <f t="shared" si="10"/>
        <v>8000000</v>
      </c>
      <c r="J49" s="180"/>
      <c r="K49" s="175"/>
      <c r="L49" s="266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</row>
    <row r="50" spans="1:35" ht="15.75" x14ac:dyDescent="0.25">
      <c r="A50" s="175"/>
      <c r="B50" s="179"/>
      <c r="C50" s="183"/>
      <c r="D50" s="558">
        <f t="shared" si="8"/>
        <v>0</v>
      </c>
      <c r="E50" s="572"/>
      <c r="F50" s="264"/>
      <c r="G50" s="265"/>
      <c r="H50" s="183"/>
      <c r="I50" s="252">
        <f t="shared" si="10"/>
        <v>0</v>
      </c>
      <c r="J50" s="180"/>
      <c r="K50" s="175"/>
      <c r="L50" s="260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</row>
    <row r="51" spans="1:35" ht="15.75" x14ac:dyDescent="0.25">
      <c r="A51" s="175"/>
      <c r="B51" s="179"/>
      <c r="C51" s="183"/>
      <c r="D51" s="558">
        <f t="shared" si="8"/>
        <v>0</v>
      </c>
      <c r="E51" s="572"/>
      <c r="F51" s="264"/>
      <c r="G51" s="265"/>
      <c r="H51" s="183"/>
      <c r="I51" s="252">
        <f t="shared" si="10"/>
        <v>0</v>
      </c>
      <c r="J51" s="180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</row>
    <row r="52" spans="1:35" ht="15.75" x14ac:dyDescent="0.25">
      <c r="A52" s="175"/>
      <c r="B52" s="179"/>
      <c r="C52" s="183"/>
      <c r="D52" s="558">
        <f t="shared" si="8"/>
        <v>0</v>
      </c>
      <c r="E52" s="572"/>
      <c r="F52" s="264"/>
      <c r="G52" s="265"/>
      <c r="H52" s="183"/>
      <c r="I52" s="252">
        <f t="shared" si="10"/>
        <v>0</v>
      </c>
      <c r="J52" s="180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</row>
    <row r="53" spans="1:35" ht="15.75" x14ac:dyDescent="0.25">
      <c r="A53" s="175"/>
      <c r="B53" s="179"/>
      <c r="C53" s="183"/>
      <c r="D53" s="558">
        <f t="shared" si="8"/>
        <v>0</v>
      </c>
      <c r="E53" s="572"/>
      <c r="F53" s="264"/>
      <c r="G53" s="265"/>
      <c r="H53" s="183"/>
      <c r="I53" s="252">
        <f t="shared" si="10"/>
        <v>0</v>
      </c>
      <c r="J53" s="180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</row>
    <row r="54" spans="1:35" ht="16.5" thickBot="1" x14ac:dyDescent="0.3">
      <c r="A54" s="175"/>
      <c r="B54" s="179"/>
      <c r="C54" s="183"/>
      <c r="D54" s="560"/>
      <c r="E54" s="562"/>
      <c r="F54" s="267"/>
      <c r="G54" s="268"/>
      <c r="H54" s="183"/>
      <c r="I54" s="259">
        <f t="shared" si="10"/>
        <v>0</v>
      </c>
      <c r="J54" s="180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</row>
    <row r="55" spans="1:35" ht="16.5" thickBot="1" x14ac:dyDescent="0.3">
      <c r="A55" s="175"/>
      <c r="B55" s="179"/>
      <c r="C55" s="183"/>
      <c r="D55" s="563"/>
      <c r="E55" s="563"/>
      <c r="F55" s="183" t="s">
        <v>217</v>
      </c>
      <c r="G55" s="269">
        <v>7.0000000000000007E-2</v>
      </c>
      <c r="H55" s="183"/>
      <c r="I55" s="183"/>
      <c r="J55" s="180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  <c r="AH55" s="175"/>
      <c r="AI55" s="175"/>
    </row>
    <row r="56" spans="1:35" ht="16.5" thickBot="1" x14ac:dyDescent="0.3">
      <c r="A56" s="175"/>
      <c r="B56" s="179"/>
      <c r="C56" s="183"/>
      <c r="D56" s="564" t="s">
        <v>165</v>
      </c>
      <c r="E56" s="565"/>
      <c r="F56" s="565"/>
      <c r="G56" s="566"/>
      <c r="H56" s="183"/>
      <c r="I56" s="243" t="s">
        <v>160</v>
      </c>
      <c r="J56" s="180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  <c r="AH56" s="175"/>
      <c r="AI56" s="175"/>
    </row>
    <row r="57" spans="1:35" ht="16.5" thickBot="1" x14ac:dyDescent="0.3">
      <c r="A57" s="175"/>
      <c r="B57" s="179"/>
      <c r="C57" s="183"/>
      <c r="D57" s="240"/>
      <c r="E57" s="241"/>
      <c r="F57" s="190" t="s">
        <v>158</v>
      </c>
      <c r="G57" s="242" t="s">
        <v>159</v>
      </c>
      <c r="H57" s="183"/>
      <c r="I57" s="270"/>
      <c r="J57" s="180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</row>
    <row r="58" spans="1:35" ht="16.5" thickBot="1" x14ac:dyDescent="0.3">
      <c r="A58" s="175"/>
      <c r="B58" s="179"/>
      <c r="C58" s="183"/>
      <c r="D58" s="567" t="str">
        <f>D45</f>
        <v>MANO DE OBRA INDIRECTA</v>
      </c>
      <c r="E58" s="568"/>
      <c r="F58" s="271">
        <f>+F45*(1+$G$55)</f>
        <v>7148660.5309734633</v>
      </c>
      <c r="G58" s="272">
        <f>+G45*(1+$G$55)</f>
        <v>14109725.442477865</v>
      </c>
      <c r="H58" s="183"/>
      <c r="I58" s="263">
        <f>F58+G58</f>
        <v>21258385.973451328</v>
      </c>
      <c r="J58" s="180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</row>
    <row r="59" spans="1:35" ht="16.5" thickBot="1" x14ac:dyDescent="0.3">
      <c r="A59" s="175"/>
      <c r="B59" s="179"/>
      <c r="C59" s="183"/>
      <c r="D59" s="558" t="str">
        <f t="shared" ref="D59:D67" si="12">D46</f>
        <v>MATERIA PRIMA INDIRECTA</v>
      </c>
      <c r="E59" s="559"/>
      <c r="F59" s="271">
        <f>+F46*(1+$G$55)</f>
        <v>0</v>
      </c>
      <c r="G59" s="272">
        <f t="shared" ref="G59:G61" si="13">+G46*(1+$G$55)</f>
        <v>26464166.726722401</v>
      </c>
      <c r="H59" s="183"/>
      <c r="I59" s="252">
        <f t="shared" ref="I59:I67" si="14">F59+G59</f>
        <v>26464166.726722401</v>
      </c>
      <c r="J59" s="180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</row>
    <row r="60" spans="1:35" ht="16.5" thickBot="1" x14ac:dyDescent="0.3">
      <c r="A60" s="175"/>
      <c r="B60" s="179"/>
      <c r="C60" s="183"/>
      <c r="D60" s="558" t="str">
        <f t="shared" si="12"/>
        <v>MANTENIMIENTO</v>
      </c>
      <c r="E60" s="559"/>
      <c r="F60" s="271">
        <f>+F47*(1+$G$55)</f>
        <v>0</v>
      </c>
      <c r="G60" s="272">
        <f t="shared" si="13"/>
        <v>2662014.4133756128</v>
      </c>
      <c r="H60" s="183"/>
      <c r="I60" s="252">
        <f t="shared" si="14"/>
        <v>2662014.4133756128</v>
      </c>
      <c r="J60" s="180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</row>
    <row r="61" spans="1:35" ht="15.75" x14ac:dyDescent="0.25">
      <c r="A61" s="175"/>
      <c r="B61" s="179"/>
      <c r="C61" s="183"/>
      <c r="D61" s="558" t="str">
        <f t="shared" si="12"/>
        <v>SEGURIDAD</v>
      </c>
      <c r="E61" s="559"/>
      <c r="F61" s="271">
        <f>+F48*(1+$G$55)</f>
        <v>2590542.5958702122</v>
      </c>
      <c r="G61" s="272">
        <f t="shared" si="13"/>
        <v>7257038.2743362784</v>
      </c>
      <c r="H61" s="183"/>
      <c r="I61" s="252">
        <f t="shared" si="14"/>
        <v>9847580.8702064902</v>
      </c>
      <c r="J61" s="180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</row>
    <row r="62" spans="1:35" ht="15.75" x14ac:dyDescent="0.25">
      <c r="A62" s="175"/>
      <c r="B62" s="179"/>
      <c r="C62" s="183"/>
      <c r="D62" s="558" t="str">
        <f t="shared" si="12"/>
        <v>DEPRECIACION</v>
      </c>
      <c r="E62" s="559"/>
      <c r="F62" s="273">
        <f>+F49</f>
        <v>8000000</v>
      </c>
      <c r="G62" s="274"/>
      <c r="H62" s="183"/>
      <c r="I62" s="252">
        <f t="shared" si="14"/>
        <v>8000000</v>
      </c>
      <c r="J62" s="180"/>
      <c r="K62" s="175"/>
      <c r="L62" s="175"/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</row>
    <row r="63" spans="1:35" ht="15.75" x14ac:dyDescent="0.25">
      <c r="A63" s="175"/>
      <c r="B63" s="179"/>
      <c r="C63" s="183"/>
      <c r="D63" s="558">
        <f t="shared" si="12"/>
        <v>0</v>
      </c>
      <c r="E63" s="559"/>
      <c r="F63" s="273"/>
      <c r="G63" s="274"/>
      <c r="H63" s="183"/>
      <c r="I63" s="252">
        <f t="shared" si="14"/>
        <v>0</v>
      </c>
      <c r="J63" s="180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</row>
    <row r="64" spans="1:35" ht="15.75" x14ac:dyDescent="0.25">
      <c r="A64" s="175"/>
      <c r="B64" s="179"/>
      <c r="C64" s="183"/>
      <c r="D64" s="558">
        <f t="shared" si="12"/>
        <v>0</v>
      </c>
      <c r="E64" s="559"/>
      <c r="F64" s="273"/>
      <c r="G64" s="274"/>
      <c r="H64" s="183"/>
      <c r="I64" s="252">
        <f t="shared" si="14"/>
        <v>0</v>
      </c>
      <c r="J64" s="180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</row>
    <row r="65" spans="1:35" ht="15.75" x14ac:dyDescent="0.25">
      <c r="A65" s="175"/>
      <c r="B65" s="179"/>
      <c r="C65" s="183"/>
      <c r="D65" s="558">
        <f t="shared" si="12"/>
        <v>0</v>
      </c>
      <c r="E65" s="559"/>
      <c r="F65" s="273"/>
      <c r="G65" s="274"/>
      <c r="H65" s="183"/>
      <c r="I65" s="252">
        <f t="shared" si="14"/>
        <v>0</v>
      </c>
      <c r="J65" s="180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</row>
    <row r="66" spans="1:35" ht="15.75" x14ac:dyDescent="0.25">
      <c r="A66" s="175"/>
      <c r="B66" s="179"/>
      <c r="C66" s="183"/>
      <c r="D66" s="558">
        <f t="shared" si="12"/>
        <v>0</v>
      </c>
      <c r="E66" s="559"/>
      <c r="F66" s="273"/>
      <c r="G66" s="274"/>
      <c r="H66" s="183"/>
      <c r="I66" s="252">
        <f t="shared" si="14"/>
        <v>0</v>
      </c>
      <c r="J66" s="180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</row>
    <row r="67" spans="1:35" ht="16.5" thickBot="1" x14ac:dyDescent="0.3">
      <c r="A67" s="175"/>
      <c r="B67" s="179"/>
      <c r="C67" s="183"/>
      <c r="D67" s="560">
        <f t="shared" si="12"/>
        <v>0</v>
      </c>
      <c r="E67" s="561"/>
      <c r="F67" s="275"/>
      <c r="G67" s="276"/>
      <c r="H67" s="183"/>
      <c r="I67" s="259">
        <f t="shared" si="14"/>
        <v>0</v>
      </c>
      <c r="J67" s="180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</row>
    <row r="68" spans="1:35" ht="16.5" thickBot="1" x14ac:dyDescent="0.3">
      <c r="A68" s="175"/>
      <c r="B68" s="179"/>
      <c r="C68" s="183"/>
      <c r="D68" s="556"/>
      <c r="E68" s="556"/>
      <c r="F68" s="183"/>
      <c r="G68" s="183"/>
      <c r="H68" s="183"/>
      <c r="I68" s="183"/>
      <c r="J68" s="180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</row>
    <row r="69" spans="1:35" ht="19.5" thickBot="1" x14ac:dyDescent="0.35">
      <c r="A69" s="175"/>
      <c r="B69" s="179"/>
      <c r="C69" s="183"/>
      <c r="D69" s="556"/>
      <c r="E69" s="556"/>
      <c r="F69" s="183"/>
      <c r="G69" s="277" t="s">
        <v>175</v>
      </c>
      <c r="H69" s="553">
        <f>SUM(I58:I67)</f>
        <v>68232147.983755827</v>
      </c>
      <c r="I69" s="554"/>
      <c r="J69" s="180" t="s">
        <v>176</v>
      </c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</row>
    <row r="70" spans="1:35" ht="15.75" x14ac:dyDescent="0.25">
      <c r="A70" s="175"/>
      <c r="B70" s="179"/>
      <c r="C70" s="183"/>
      <c r="D70" s="556"/>
      <c r="E70" s="556"/>
      <c r="F70" s="183"/>
      <c r="G70" s="183"/>
      <c r="H70" s="183"/>
      <c r="I70" s="278">
        <f>+I116+U116+AE116</f>
        <v>68232147.983755827</v>
      </c>
      <c r="J70" s="180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</row>
    <row r="71" spans="1:35" ht="15.75" x14ac:dyDescent="0.25">
      <c r="A71" s="175"/>
      <c r="B71" s="179"/>
      <c r="C71" s="183"/>
      <c r="D71" s="556"/>
      <c r="E71" s="556"/>
      <c r="F71" s="183"/>
      <c r="G71" s="183"/>
      <c r="H71" s="183"/>
      <c r="I71" s="183"/>
      <c r="J71" s="180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5"/>
      <c r="AE71" s="175"/>
      <c r="AF71" s="175"/>
      <c r="AG71" s="175"/>
      <c r="AH71" s="175"/>
      <c r="AI71" s="175"/>
    </row>
    <row r="72" spans="1:35" ht="15.75" x14ac:dyDescent="0.25">
      <c r="A72" s="175"/>
      <c r="B72" s="179"/>
      <c r="C72" s="183"/>
      <c r="D72" s="556"/>
      <c r="E72" s="556"/>
      <c r="F72" s="183"/>
      <c r="G72" s="183"/>
      <c r="H72" s="183"/>
      <c r="I72" s="183"/>
      <c r="J72" s="180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5"/>
      <c r="AE72" s="175"/>
      <c r="AF72" s="175"/>
      <c r="AG72" s="175"/>
      <c r="AH72" s="175"/>
      <c r="AI72" s="175"/>
    </row>
    <row r="73" spans="1:35" ht="15.75" x14ac:dyDescent="0.25">
      <c r="A73" s="175"/>
      <c r="B73" s="179"/>
      <c r="C73" s="183"/>
      <c r="D73" s="556"/>
      <c r="E73" s="556"/>
      <c r="F73" s="183"/>
      <c r="G73" s="183"/>
      <c r="H73" s="183"/>
      <c r="I73" s="183"/>
      <c r="J73" s="180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5"/>
      <c r="AE73" s="175"/>
      <c r="AF73" s="175"/>
      <c r="AG73" s="175"/>
      <c r="AH73" s="175"/>
      <c r="AI73" s="175"/>
    </row>
    <row r="74" spans="1:35" ht="15.75" x14ac:dyDescent="0.25">
      <c r="A74" s="175"/>
      <c r="B74" s="179"/>
      <c r="C74" s="183"/>
      <c r="D74" s="556"/>
      <c r="E74" s="556"/>
      <c r="F74" s="183"/>
      <c r="G74" s="183"/>
      <c r="H74" s="183"/>
      <c r="I74" s="183"/>
      <c r="J74" s="180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5"/>
      <c r="AE74" s="175"/>
      <c r="AF74" s="175"/>
      <c r="AG74" s="175"/>
      <c r="AH74" s="175"/>
      <c r="AI74" s="175"/>
    </row>
    <row r="75" spans="1:35" ht="16.5" thickBot="1" x14ac:dyDescent="0.3">
      <c r="A75" s="175"/>
      <c r="B75" s="279"/>
      <c r="C75" s="248"/>
      <c r="D75" s="248"/>
      <c r="E75" s="248"/>
      <c r="F75" s="248"/>
      <c r="G75" s="248"/>
      <c r="H75" s="248"/>
      <c r="I75" s="248"/>
      <c r="J75" s="249"/>
      <c r="K75" s="175"/>
      <c r="L75" s="175"/>
      <c r="M75" s="175"/>
      <c r="N75" s="175"/>
      <c r="O75" s="175"/>
      <c r="P75" s="175"/>
      <c r="Q75" s="175"/>
      <c r="R75" s="175"/>
      <c r="S75" s="175"/>
      <c r="T75" s="175"/>
      <c r="U75" s="175"/>
      <c r="V75" s="175"/>
      <c r="W75" s="175"/>
      <c r="X75" s="175"/>
      <c r="Y75" s="175"/>
      <c r="Z75" s="175"/>
      <c r="AA75" s="175"/>
      <c r="AB75" s="175"/>
      <c r="AC75" s="175"/>
      <c r="AD75" s="175"/>
      <c r="AE75" s="175"/>
      <c r="AF75" s="175"/>
      <c r="AG75" s="175"/>
      <c r="AH75" s="175"/>
      <c r="AI75" s="175"/>
    </row>
    <row r="76" spans="1:35" ht="16.5" thickBot="1" x14ac:dyDescent="0.3">
      <c r="A76" s="175"/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/>
      <c r="T76" s="175"/>
      <c r="U76" s="175"/>
      <c r="V76" s="175"/>
      <c r="W76" s="175"/>
      <c r="X76" s="175"/>
      <c r="Y76" s="175"/>
      <c r="Z76" s="175"/>
      <c r="AA76" s="175"/>
      <c r="AB76" s="175"/>
      <c r="AC76" s="175"/>
      <c r="AD76" s="175"/>
      <c r="AE76" s="175"/>
      <c r="AF76" s="175"/>
      <c r="AG76" s="175"/>
      <c r="AH76" s="175"/>
      <c r="AI76" s="175"/>
    </row>
    <row r="77" spans="1:35" ht="16.5" thickBot="1" x14ac:dyDescent="0.3">
      <c r="A77" s="175"/>
      <c r="B77" s="175"/>
      <c r="C77" s="280" t="s">
        <v>218</v>
      </c>
      <c r="D77" s="281" t="s">
        <v>53</v>
      </c>
      <c r="E77" s="282">
        <f>+P.PRODUCCION!C78</f>
        <v>1621</v>
      </c>
      <c r="F77" s="282">
        <f>+P.PRODUCCION!D78</f>
        <v>1407</v>
      </c>
      <c r="G77" s="282">
        <f>+P.PRODUCCION!E78</f>
        <v>1351</v>
      </c>
      <c r="H77" s="282">
        <f>+P.PRODUCCION!F78</f>
        <v>1404</v>
      </c>
      <c r="I77" s="283">
        <f>SUM(E77:H77)</f>
        <v>5783</v>
      </c>
      <c r="J77" s="215"/>
      <c r="K77" s="195"/>
      <c r="L77" s="183"/>
      <c r="M77" s="175"/>
      <c r="N77" s="175"/>
      <c r="O77" s="284" t="s">
        <v>219</v>
      </c>
      <c r="P77" s="285" t="s">
        <v>53</v>
      </c>
      <c r="Q77" s="285">
        <f>+P.PRODUCCION!Q78</f>
        <v>1095</v>
      </c>
      <c r="R77" s="285">
        <f>+P.PRODUCCION!R78</f>
        <v>883</v>
      </c>
      <c r="S77" s="285">
        <f>+P.PRODUCCION!S78</f>
        <v>869</v>
      </c>
      <c r="T77" s="285">
        <f>+P.PRODUCCION!T78</f>
        <v>874</v>
      </c>
      <c r="U77" s="286">
        <f>SUM(Q77:T77)</f>
        <v>3721</v>
      </c>
      <c r="V77" s="286"/>
      <c r="W77" s="287"/>
      <c r="X77" s="175"/>
      <c r="Y77" s="280" t="s">
        <v>220</v>
      </c>
      <c r="Z77" s="281" t="s">
        <v>53</v>
      </c>
      <c r="AA77" s="282">
        <f>+P.PRODUCCION!AE78</f>
        <v>1133</v>
      </c>
      <c r="AB77" s="282">
        <f>+P.PRODUCCION!AF78</f>
        <v>964</v>
      </c>
      <c r="AC77" s="282">
        <f>+P.PRODUCCION!AG78</f>
        <v>933</v>
      </c>
      <c r="AD77" s="282">
        <f>+P.PRODUCCION!AH78</f>
        <v>951</v>
      </c>
      <c r="AE77" s="283">
        <f>SUM(AA77:AD77)</f>
        <v>3981</v>
      </c>
      <c r="AF77" s="215"/>
      <c r="AG77" s="195"/>
      <c r="AH77" s="175"/>
      <c r="AI77" s="175"/>
    </row>
    <row r="78" spans="1:35" ht="15.75" x14ac:dyDescent="0.25">
      <c r="A78" s="175"/>
      <c r="B78" s="175"/>
      <c r="C78" s="288" t="s">
        <v>181</v>
      </c>
      <c r="D78" s="288" t="s">
        <v>182</v>
      </c>
      <c r="E78" s="289" t="s">
        <v>18</v>
      </c>
      <c r="F78" s="290" t="s">
        <v>19</v>
      </c>
      <c r="G78" s="206" t="s">
        <v>20</v>
      </c>
      <c r="H78" s="206" t="s">
        <v>21</v>
      </c>
      <c r="I78" s="206" t="s">
        <v>166</v>
      </c>
      <c r="J78" s="206" t="s">
        <v>183</v>
      </c>
      <c r="K78" s="202" t="s">
        <v>184</v>
      </c>
      <c r="L78" s="183"/>
      <c r="M78" s="175"/>
      <c r="N78" s="175"/>
      <c r="O78" s="291" t="s">
        <v>181</v>
      </c>
      <c r="P78" s="292" t="s">
        <v>182</v>
      </c>
      <c r="Q78" s="292" t="s">
        <v>18</v>
      </c>
      <c r="R78" s="293" t="s">
        <v>19</v>
      </c>
      <c r="S78" s="293" t="s">
        <v>20</v>
      </c>
      <c r="T78" s="294" t="s">
        <v>21</v>
      </c>
      <c r="U78" s="293" t="s">
        <v>166</v>
      </c>
      <c r="V78" s="286" t="s">
        <v>183</v>
      </c>
      <c r="W78" s="287" t="s">
        <v>184</v>
      </c>
      <c r="X78" s="175"/>
      <c r="Y78" s="288" t="s">
        <v>181</v>
      </c>
      <c r="Z78" s="288" t="s">
        <v>182</v>
      </c>
      <c r="AA78" s="289" t="s">
        <v>18</v>
      </c>
      <c r="AB78" s="290" t="s">
        <v>19</v>
      </c>
      <c r="AC78" s="206" t="s">
        <v>20</v>
      </c>
      <c r="AD78" s="206" t="s">
        <v>21</v>
      </c>
      <c r="AE78" s="206" t="s">
        <v>166</v>
      </c>
      <c r="AF78" s="206" t="s">
        <v>183</v>
      </c>
      <c r="AG78" s="202" t="s">
        <v>184</v>
      </c>
      <c r="AH78" s="175"/>
      <c r="AI78" s="175"/>
    </row>
    <row r="79" spans="1:35" ht="15.75" x14ac:dyDescent="0.25">
      <c r="A79" s="175"/>
      <c r="B79" s="175"/>
      <c r="C79" s="295">
        <f>+'TIEMPOS REQUERIDOS'!B4</f>
        <v>13</v>
      </c>
      <c r="D79" s="295" t="s">
        <v>167</v>
      </c>
      <c r="E79" s="296">
        <f>+C79*E77</f>
        <v>21073</v>
      </c>
      <c r="F79" s="297">
        <f>+C79*F77</f>
        <v>18291</v>
      </c>
      <c r="G79" s="297">
        <f>+C79*G77</f>
        <v>17563</v>
      </c>
      <c r="H79" s="297">
        <f>+C79*H77</f>
        <v>18252</v>
      </c>
      <c r="I79" s="297">
        <f>SUM(E79:H79)</f>
        <v>75179</v>
      </c>
      <c r="J79" s="206">
        <f>+K79/I83</f>
        <v>0.23636363636363639</v>
      </c>
      <c r="K79" s="202">
        <f>+I79/60</f>
        <v>1252.9833333333333</v>
      </c>
      <c r="L79" s="183"/>
      <c r="M79" s="175"/>
      <c r="N79" s="175"/>
      <c r="O79" s="291">
        <f>+'TIEMPOS REQUERIDOS'!C4</f>
        <v>18</v>
      </c>
      <c r="P79" s="298" t="s">
        <v>167</v>
      </c>
      <c r="Q79" s="292">
        <f>+Q77*O79</f>
        <v>19710</v>
      </c>
      <c r="R79" s="293">
        <f>+R77*O79</f>
        <v>15894</v>
      </c>
      <c r="S79" s="293">
        <f>+O79*S77</f>
        <v>15642</v>
      </c>
      <c r="T79" s="294">
        <f>+T77*O79</f>
        <v>15732</v>
      </c>
      <c r="U79" s="299">
        <f>+O79*U77</f>
        <v>66978</v>
      </c>
      <c r="V79" s="294">
        <f>+W79/$U$83</f>
        <v>0.33962264150943394</v>
      </c>
      <c r="W79" s="300">
        <f>+U79/60</f>
        <v>1116.3</v>
      </c>
      <c r="X79" s="175"/>
      <c r="Y79" s="295">
        <f>+'TIEMPOS REQUERIDOS'!D4</f>
        <v>28</v>
      </c>
      <c r="Z79" s="295" t="s">
        <v>167</v>
      </c>
      <c r="AA79" s="296">
        <f>+Y79*AA77</f>
        <v>31724</v>
      </c>
      <c r="AB79" s="297">
        <f>+Y79*AB77</f>
        <v>26992</v>
      </c>
      <c r="AC79" s="297">
        <f>+Y79*AC77</f>
        <v>26124</v>
      </c>
      <c r="AD79" s="297">
        <f>+Y79*AD77</f>
        <v>26628</v>
      </c>
      <c r="AE79" s="297">
        <f>SUM(AA79:AD79)</f>
        <v>111468</v>
      </c>
      <c r="AF79" s="206">
        <f>+AG79/AE83</f>
        <v>0.25688073394495414</v>
      </c>
      <c r="AG79" s="202">
        <f>+AE79/60</f>
        <v>1857.8</v>
      </c>
      <c r="AH79" s="175"/>
      <c r="AI79" s="175"/>
    </row>
    <row r="80" spans="1:35" ht="15.75" x14ac:dyDescent="0.25">
      <c r="A80" s="175"/>
      <c r="B80" s="175"/>
      <c r="C80" s="295">
        <f>+'TIEMPOS REQUERIDOS'!B5</f>
        <v>28</v>
      </c>
      <c r="D80" s="295" t="s">
        <v>168</v>
      </c>
      <c r="E80" s="296">
        <f>+C80*E77</f>
        <v>45388</v>
      </c>
      <c r="F80" s="297">
        <f>+C80*F77</f>
        <v>39396</v>
      </c>
      <c r="G80" s="297">
        <f>+C80*G77</f>
        <v>37828</v>
      </c>
      <c r="H80" s="297">
        <f>+C80*H77</f>
        <v>39312</v>
      </c>
      <c r="I80" s="206">
        <f t="shared" ref="I80:I81" si="15">SUM(E80:H80)</f>
        <v>161924</v>
      </c>
      <c r="J80" s="206">
        <f>+K80/I83</f>
        <v>0.50909090909090904</v>
      </c>
      <c r="K80" s="202">
        <f t="shared" ref="K80:K81" si="16">+I80/60</f>
        <v>2698.7333333333331</v>
      </c>
      <c r="L80" s="183"/>
      <c r="M80" s="175"/>
      <c r="N80" s="175"/>
      <c r="O80" s="291">
        <f>+'TIEMPOS REQUERIDOS'!C5</f>
        <v>21</v>
      </c>
      <c r="P80" s="292" t="s">
        <v>168</v>
      </c>
      <c r="Q80" s="292">
        <f>+Q77*O80</f>
        <v>22995</v>
      </c>
      <c r="R80" s="293">
        <f>+R77*O80</f>
        <v>18543</v>
      </c>
      <c r="S80" s="293">
        <f>+S77*O80</f>
        <v>18249</v>
      </c>
      <c r="T80" s="294">
        <f>+T77*O80</f>
        <v>18354</v>
      </c>
      <c r="U80" s="299">
        <f>+O80*U77</f>
        <v>78141</v>
      </c>
      <c r="V80" s="294">
        <f t="shared" ref="V80:V81" si="17">+W80/$U$83</f>
        <v>0.39622641509433959</v>
      </c>
      <c r="W80" s="300">
        <f t="shared" ref="W80:W81" si="18">+U80/60</f>
        <v>1302.3499999999999</v>
      </c>
      <c r="X80" s="175"/>
      <c r="Y80" s="295">
        <f>+'TIEMPOS REQUERIDOS'!D5</f>
        <v>36</v>
      </c>
      <c r="Z80" s="295" t="s">
        <v>168</v>
      </c>
      <c r="AA80" s="296">
        <f>+Y80*AA77</f>
        <v>40788</v>
      </c>
      <c r="AB80" s="297">
        <f>+Y80*AB77</f>
        <v>34704</v>
      </c>
      <c r="AC80" s="297">
        <f>+Y80*AC77</f>
        <v>33588</v>
      </c>
      <c r="AD80" s="297">
        <f>+Y80*AD77</f>
        <v>34236</v>
      </c>
      <c r="AE80" s="206">
        <f t="shared" ref="AE80:AE81" si="19">SUM(AA80:AD80)</f>
        <v>143316</v>
      </c>
      <c r="AF80" s="206">
        <f>+AG80/AE83</f>
        <v>0.33027522935779818</v>
      </c>
      <c r="AG80" s="202">
        <f t="shared" ref="AG80:AG81" si="20">+AE80/60</f>
        <v>2388.6</v>
      </c>
      <c r="AH80" s="175"/>
      <c r="AI80" s="175"/>
    </row>
    <row r="81" spans="1:35" ht="16.5" thickBot="1" x14ac:dyDescent="0.3">
      <c r="A81" s="175"/>
      <c r="B81" s="175"/>
      <c r="C81" s="295">
        <f>+'TIEMPOS REQUERIDOS'!B6</f>
        <v>14</v>
      </c>
      <c r="D81" s="301" t="s">
        <v>169</v>
      </c>
      <c r="E81" s="296">
        <f>+C81*E77</f>
        <v>22694</v>
      </c>
      <c r="F81" s="297">
        <f>+C81*F77</f>
        <v>19698</v>
      </c>
      <c r="G81" s="297">
        <f>+C81*G77</f>
        <v>18914</v>
      </c>
      <c r="H81" s="297">
        <f>+C81*H77</f>
        <v>19656</v>
      </c>
      <c r="I81" s="206">
        <f t="shared" si="15"/>
        <v>80962</v>
      </c>
      <c r="J81" s="206">
        <f>+K81/I83</f>
        <v>0.25454545454545452</v>
      </c>
      <c r="K81" s="202">
        <f t="shared" si="16"/>
        <v>1349.3666666666666</v>
      </c>
      <c r="L81" s="183"/>
      <c r="M81" s="175"/>
      <c r="N81" s="175"/>
      <c r="O81" s="291">
        <f>+'TIEMPOS REQUERIDOS'!C6</f>
        <v>14</v>
      </c>
      <c r="P81" s="292" t="s">
        <v>169</v>
      </c>
      <c r="Q81" s="292">
        <f>+Q77*O81</f>
        <v>15330</v>
      </c>
      <c r="R81" s="293">
        <f>+R77*O81</f>
        <v>12362</v>
      </c>
      <c r="S81" s="293">
        <f>+S77*O81</f>
        <v>12166</v>
      </c>
      <c r="T81" s="294">
        <f>+O81*T77</f>
        <v>12236</v>
      </c>
      <c r="U81" s="299">
        <f>+O81*U77</f>
        <v>52094</v>
      </c>
      <c r="V81" s="294">
        <f t="shared" si="17"/>
        <v>0.26415094339622641</v>
      </c>
      <c r="W81" s="300">
        <f t="shared" si="18"/>
        <v>868.23333333333335</v>
      </c>
      <c r="X81" s="175"/>
      <c r="Y81" s="295">
        <f>+'TIEMPOS REQUERIDOS'!D6</f>
        <v>45</v>
      </c>
      <c r="Z81" s="301" t="s">
        <v>169</v>
      </c>
      <c r="AA81" s="296">
        <f>+Y81*AA77</f>
        <v>50985</v>
      </c>
      <c r="AB81" s="297">
        <f>+Y81*AB77</f>
        <v>43380</v>
      </c>
      <c r="AC81" s="297">
        <f>+Y81*AC77</f>
        <v>41985</v>
      </c>
      <c r="AD81" s="297">
        <f>+Y81*AD77</f>
        <v>42795</v>
      </c>
      <c r="AE81" s="206">
        <f t="shared" si="19"/>
        <v>179145</v>
      </c>
      <c r="AF81" s="206">
        <f>+AG81/AE83</f>
        <v>0.41284403669724773</v>
      </c>
      <c r="AG81" s="202">
        <f t="shared" si="20"/>
        <v>2985.75</v>
      </c>
      <c r="AH81" s="175"/>
      <c r="AI81" s="175"/>
    </row>
    <row r="82" spans="1:35" ht="15.75" x14ac:dyDescent="0.25">
      <c r="A82" s="175"/>
      <c r="B82" s="175"/>
      <c r="C82" s="179"/>
      <c r="D82" s="183"/>
      <c r="E82" s="183"/>
      <c r="F82" s="183"/>
      <c r="G82" s="302"/>
      <c r="H82" s="303" t="s">
        <v>186</v>
      </c>
      <c r="I82" s="303">
        <f>SUM(I79:I81)</f>
        <v>318065</v>
      </c>
      <c r="J82" s="183">
        <f>SUM(J79:J81)</f>
        <v>0.99999999999999989</v>
      </c>
      <c r="K82" s="180">
        <f>+K79+K80+K81</f>
        <v>5301.083333333333</v>
      </c>
      <c r="L82" s="175"/>
      <c r="M82" s="175"/>
      <c r="N82" s="175"/>
      <c r="O82" s="304"/>
      <c r="P82" s="305"/>
      <c r="Q82" s="305"/>
      <c r="R82" s="305"/>
      <c r="S82" s="305"/>
      <c r="T82" s="306" t="s">
        <v>170</v>
      </c>
      <c r="U82" s="306">
        <f>SUM(U79:U81)</f>
        <v>197213</v>
      </c>
      <c r="V82" s="306"/>
      <c r="W82" s="307">
        <f>SUM(W79:W81)</f>
        <v>3286.8833333333332</v>
      </c>
      <c r="X82" s="175"/>
      <c r="Y82" s="179"/>
      <c r="Z82" s="183"/>
      <c r="AA82" s="183"/>
      <c r="AB82" s="183"/>
      <c r="AC82" s="302"/>
      <c r="AD82" s="303" t="s">
        <v>186</v>
      </c>
      <c r="AE82" s="303">
        <f>SUM(AE79:AE81)</f>
        <v>433929</v>
      </c>
      <c r="AF82" s="183">
        <f>SUM(AF79:AF81)</f>
        <v>1</v>
      </c>
      <c r="AG82" s="180">
        <f>+AG79+AG80+AG81</f>
        <v>7232.15</v>
      </c>
      <c r="AH82" s="175"/>
      <c r="AI82" s="175"/>
    </row>
    <row r="83" spans="1:35" ht="15.75" x14ac:dyDescent="0.25">
      <c r="A83" s="175"/>
      <c r="B83" s="175"/>
      <c r="C83" s="179"/>
      <c r="D83" s="308" t="s">
        <v>171</v>
      </c>
      <c r="E83" s="309">
        <f>+H69</f>
        <v>68232147.983755827</v>
      </c>
      <c r="F83" s="183"/>
      <c r="G83" s="302"/>
      <c r="H83" s="303" t="s">
        <v>187</v>
      </c>
      <c r="I83" s="303">
        <f>+I82/60</f>
        <v>5301.083333333333</v>
      </c>
      <c r="J83" s="183"/>
      <c r="K83" s="180"/>
      <c r="L83" s="175"/>
      <c r="M83" s="175"/>
      <c r="N83" s="175"/>
      <c r="O83" s="304"/>
      <c r="P83" s="310" t="s">
        <v>171</v>
      </c>
      <c r="Q83" s="310">
        <f>+E83</f>
        <v>68232147.983755827</v>
      </c>
      <c r="R83" s="305"/>
      <c r="S83" s="305"/>
      <c r="T83" s="306" t="s">
        <v>172</v>
      </c>
      <c r="U83" s="306">
        <f>+U82/60</f>
        <v>3286.8833333333332</v>
      </c>
      <c r="V83" s="306"/>
      <c r="W83" s="311"/>
      <c r="X83" s="175"/>
      <c r="Y83" s="179"/>
      <c r="Z83" s="308" t="s">
        <v>171</v>
      </c>
      <c r="AA83" s="309">
        <f>+E83</f>
        <v>68232147.983755827</v>
      </c>
      <c r="AB83" s="183"/>
      <c r="AC83" s="302"/>
      <c r="AD83" s="303" t="s">
        <v>187</v>
      </c>
      <c r="AE83" s="303">
        <f>+AE82/60</f>
        <v>7232.15</v>
      </c>
      <c r="AF83" s="183"/>
      <c r="AG83" s="180"/>
      <c r="AH83" s="175"/>
      <c r="AI83" s="175"/>
    </row>
    <row r="84" spans="1:35" ht="15.75" x14ac:dyDescent="0.25">
      <c r="A84" s="175"/>
      <c r="B84" s="175"/>
      <c r="C84" s="179"/>
      <c r="D84" s="312" t="s">
        <v>188</v>
      </c>
      <c r="E84" s="312">
        <f>+I83+U83+AE83</f>
        <v>15820.116666666667</v>
      </c>
      <c r="F84" s="183"/>
      <c r="G84" s="302"/>
      <c r="H84" s="183"/>
      <c r="I84" s="183"/>
      <c r="J84" s="183"/>
      <c r="K84" s="180"/>
      <c r="L84" s="175"/>
      <c r="M84" s="175"/>
      <c r="N84" s="175"/>
      <c r="O84" s="304"/>
      <c r="P84" s="305" t="s">
        <v>173</v>
      </c>
      <c r="Q84" s="305">
        <f>I83+U83+AE83</f>
        <v>15820.116666666667</v>
      </c>
      <c r="R84" s="305"/>
      <c r="S84" s="305"/>
      <c r="T84" s="305" t="s">
        <v>148</v>
      </c>
      <c r="U84" s="305"/>
      <c r="V84" s="305"/>
      <c r="W84" s="313"/>
      <c r="X84" s="175"/>
      <c r="Y84" s="179"/>
      <c r="Z84" s="312" t="s">
        <v>188</v>
      </c>
      <c r="AA84" s="312">
        <f>AE83+U83+I83</f>
        <v>15820.116666666665</v>
      </c>
      <c r="AB84" s="183"/>
      <c r="AC84" s="302"/>
      <c r="AD84" s="183"/>
      <c r="AE84" s="183"/>
      <c r="AF84" s="183"/>
      <c r="AG84" s="180"/>
      <c r="AH84" s="175"/>
      <c r="AI84" s="175"/>
    </row>
    <row r="85" spans="1:35" ht="15.75" x14ac:dyDescent="0.25">
      <c r="A85" s="175"/>
      <c r="B85" s="175"/>
      <c r="C85" s="179"/>
      <c r="D85" s="183"/>
      <c r="E85" s="183"/>
      <c r="F85" s="183"/>
      <c r="G85" s="302"/>
      <c r="H85" s="183"/>
      <c r="I85" s="183"/>
      <c r="J85" s="183"/>
      <c r="K85" s="180"/>
      <c r="L85" s="175"/>
      <c r="M85" s="175"/>
      <c r="N85" s="175"/>
      <c r="O85" s="304"/>
      <c r="P85" s="305"/>
      <c r="Q85" s="305"/>
      <c r="R85" s="305"/>
      <c r="S85" s="305"/>
      <c r="T85" s="305"/>
      <c r="U85" s="305"/>
      <c r="V85" s="305"/>
      <c r="W85" s="313"/>
      <c r="X85" s="175"/>
      <c r="Y85" s="179"/>
      <c r="Z85" s="183"/>
      <c r="AA85" s="183"/>
      <c r="AB85" s="183"/>
      <c r="AC85" s="302"/>
      <c r="AD85" s="183"/>
      <c r="AE85" s="183"/>
      <c r="AF85" s="183"/>
      <c r="AG85" s="180"/>
      <c r="AH85" s="175"/>
      <c r="AI85" s="175"/>
    </row>
    <row r="86" spans="1:35" ht="15.75" x14ac:dyDescent="0.25">
      <c r="A86" s="175"/>
      <c r="B86" s="175"/>
      <c r="C86" s="179"/>
      <c r="D86" s="314" t="s">
        <v>174</v>
      </c>
      <c r="E86" s="314">
        <f>+E83/E84</f>
        <v>4312.9990392246891</v>
      </c>
      <c r="F86" s="183"/>
      <c r="G86" s="183"/>
      <c r="H86" s="183"/>
      <c r="I86" s="183"/>
      <c r="J86" s="183"/>
      <c r="K86" s="180"/>
      <c r="L86" s="175"/>
      <c r="M86" s="175"/>
      <c r="N86" s="175"/>
      <c r="O86" s="304"/>
      <c r="P86" s="305" t="s">
        <v>174</v>
      </c>
      <c r="Q86" s="305">
        <f>+E86</f>
        <v>4312.9990392246891</v>
      </c>
      <c r="R86" s="305"/>
      <c r="S86" s="305"/>
      <c r="T86" s="305"/>
      <c r="U86" s="305"/>
      <c r="V86" s="305"/>
      <c r="W86" s="313"/>
      <c r="X86" s="175"/>
      <c r="Y86" s="179"/>
      <c r="Z86" s="314" t="s">
        <v>174</v>
      </c>
      <c r="AA86" s="314">
        <f>+AA83/AA84</f>
        <v>4312.99903922469</v>
      </c>
      <c r="AB86" s="183"/>
      <c r="AC86" s="183"/>
      <c r="AD86" s="183"/>
      <c r="AE86" s="183"/>
      <c r="AF86" s="183"/>
      <c r="AG86" s="180"/>
      <c r="AH86" s="175"/>
      <c r="AI86" s="175"/>
    </row>
    <row r="87" spans="1:35" ht="16.5" thickBot="1" x14ac:dyDescent="0.3">
      <c r="A87" s="175"/>
      <c r="B87" s="175"/>
      <c r="C87" s="179"/>
      <c r="D87" s="183"/>
      <c r="E87" s="183"/>
      <c r="F87" s="183"/>
      <c r="G87" s="183"/>
      <c r="H87" s="183"/>
      <c r="I87" s="183"/>
      <c r="J87" s="183"/>
      <c r="K87" s="180"/>
      <c r="L87" s="175"/>
      <c r="M87" s="175"/>
      <c r="N87" s="175"/>
      <c r="O87" s="304"/>
      <c r="P87" s="305"/>
      <c r="Q87" s="305"/>
      <c r="R87" s="305"/>
      <c r="S87" s="305"/>
      <c r="T87" s="305"/>
      <c r="U87" s="305"/>
      <c r="V87" s="305"/>
      <c r="W87" s="313"/>
      <c r="X87" s="175"/>
      <c r="Y87" s="179"/>
      <c r="Z87" s="183"/>
      <c r="AA87" s="183"/>
      <c r="AB87" s="183"/>
      <c r="AC87" s="183"/>
      <c r="AD87" s="183"/>
      <c r="AE87" s="183"/>
      <c r="AF87" s="183"/>
      <c r="AG87" s="180"/>
      <c r="AH87" s="175"/>
      <c r="AI87" s="175"/>
    </row>
    <row r="88" spans="1:35" ht="15.75" x14ac:dyDescent="0.25">
      <c r="A88" s="175"/>
      <c r="B88" s="175"/>
      <c r="C88" s="179"/>
      <c r="D88" s="214" t="s">
        <v>189</v>
      </c>
      <c r="E88" s="215">
        <f>+I83</f>
        <v>5301.083333333333</v>
      </c>
      <c r="F88" s="195" t="s">
        <v>178</v>
      </c>
      <c r="G88" s="183"/>
      <c r="H88" s="183"/>
      <c r="I88" s="183"/>
      <c r="J88" s="315"/>
      <c r="K88" s="180"/>
      <c r="L88" s="175"/>
      <c r="M88" s="175"/>
      <c r="N88" s="175"/>
      <c r="O88" s="304"/>
      <c r="P88" s="316" t="s">
        <v>177</v>
      </c>
      <c r="Q88" s="317">
        <f>+U83</f>
        <v>3286.8833333333332</v>
      </c>
      <c r="R88" s="318" t="s">
        <v>178</v>
      </c>
      <c r="S88" s="305"/>
      <c r="T88" s="305"/>
      <c r="U88" s="305"/>
      <c r="V88" s="305"/>
      <c r="W88" s="313"/>
      <c r="X88" s="175"/>
      <c r="Y88" s="179"/>
      <c r="Z88" s="214" t="s">
        <v>189</v>
      </c>
      <c r="AA88" s="215">
        <f>+AE83</f>
        <v>7232.15</v>
      </c>
      <c r="AB88" s="195" t="s">
        <v>178</v>
      </c>
      <c r="AC88" s="183"/>
      <c r="AD88" s="183"/>
      <c r="AE88" s="183"/>
      <c r="AF88" s="315"/>
      <c r="AG88" s="180"/>
      <c r="AH88" s="175"/>
      <c r="AI88" s="175"/>
    </row>
    <row r="89" spans="1:35" ht="16.5" thickBot="1" x14ac:dyDescent="0.3">
      <c r="A89" s="175"/>
      <c r="B89" s="175"/>
      <c r="C89" s="179"/>
      <c r="D89" s="218" t="s">
        <v>53</v>
      </c>
      <c r="E89" s="319">
        <f>+I77</f>
        <v>5783</v>
      </c>
      <c r="F89" s="320">
        <f>+E88/E89</f>
        <v>0.91666666666666663</v>
      </c>
      <c r="G89" s="183" t="s">
        <v>190</v>
      </c>
      <c r="H89" s="183"/>
      <c r="I89" s="183"/>
      <c r="J89" s="183"/>
      <c r="K89" s="180"/>
      <c r="L89" s="175"/>
      <c r="M89" s="175"/>
      <c r="N89" s="175"/>
      <c r="O89" s="304"/>
      <c r="P89" s="321" t="s">
        <v>53</v>
      </c>
      <c r="Q89" s="322">
        <f>+U77</f>
        <v>3721</v>
      </c>
      <c r="R89" s="323">
        <f>+Q88/Q89</f>
        <v>0.8833333333333333</v>
      </c>
      <c r="S89" s="305"/>
      <c r="T89" s="305"/>
      <c r="U89" s="305"/>
      <c r="V89" s="305"/>
      <c r="W89" s="313"/>
      <c r="X89" s="175"/>
      <c r="Y89" s="179"/>
      <c r="Z89" s="218" t="s">
        <v>53</v>
      </c>
      <c r="AA89" s="319">
        <f>+AE77</f>
        <v>3981</v>
      </c>
      <c r="AB89" s="320">
        <f>+AA88/AA89</f>
        <v>1.8166666666666667</v>
      </c>
      <c r="AC89" s="183" t="s">
        <v>190</v>
      </c>
      <c r="AD89" s="183"/>
      <c r="AE89" s="183"/>
      <c r="AF89" s="183"/>
      <c r="AG89" s="180"/>
      <c r="AH89" s="175"/>
      <c r="AI89" s="175"/>
    </row>
    <row r="90" spans="1:35" ht="15.75" x14ac:dyDescent="0.25">
      <c r="A90" s="175"/>
      <c r="B90" s="175"/>
      <c r="C90" s="179"/>
      <c r="D90" s="183"/>
      <c r="E90" s="183"/>
      <c r="F90" s="183"/>
      <c r="G90" s="183"/>
      <c r="H90" s="183"/>
      <c r="I90" s="183"/>
      <c r="J90" s="183"/>
      <c r="K90" s="180"/>
      <c r="L90" s="175"/>
      <c r="M90" s="175"/>
      <c r="N90" s="175"/>
      <c r="O90" s="304"/>
      <c r="P90" s="305"/>
      <c r="Q90" s="305"/>
      <c r="R90" s="305"/>
      <c r="S90" s="305"/>
      <c r="T90" s="305"/>
      <c r="U90" s="305"/>
      <c r="V90" s="305"/>
      <c r="W90" s="313"/>
      <c r="X90" s="175"/>
      <c r="Y90" s="179"/>
      <c r="Z90" s="183"/>
      <c r="AA90" s="183"/>
      <c r="AB90" s="183"/>
      <c r="AC90" s="183"/>
      <c r="AD90" s="183"/>
      <c r="AE90" s="183"/>
      <c r="AF90" s="183"/>
      <c r="AG90" s="180"/>
      <c r="AH90" s="175"/>
      <c r="AI90" s="175"/>
    </row>
    <row r="91" spans="1:35" ht="16.5" thickBot="1" x14ac:dyDescent="0.3">
      <c r="A91" s="175"/>
      <c r="B91" s="175"/>
      <c r="C91" s="179"/>
      <c r="D91" s="183" t="s">
        <v>191</v>
      </c>
      <c r="E91" s="183"/>
      <c r="F91" s="183"/>
      <c r="G91" s="183"/>
      <c r="H91" s="183"/>
      <c r="I91" s="183"/>
      <c r="J91" s="183"/>
      <c r="K91" s="180"/>
      <c r="L91" s="175"/>
      <c r="M91" s="175"/>
      <c r="N91" s="175"/>
      <c r="O91" s="304"/>
      <c r="P91" s="305" t="s">
        <v>179</v>
      </c>
      <c r="Q91" s="305"/>
      <c r="R91" s="305"/>
      <c r="S91" s="305"/>
      <c r="T91" s="305"/>
      <c r="U91" s="305"/>
      <c r="V91" s="305"/>
      <c r="W91" s="313"/>
      <c r="X91" s="175"/>
      <c r="Y91" s="179"/>
      <c r="Z91" s="183" t="s">
        <v>191</v>
      </c>
      <c r="AA91" s="183"/>
      <c r="AB91" s="183"/>
      <c r="AC91" s="183"/>
      <c r="AD91" s="183"/>
      <c r="AE91" s="183"/>
      <c r="AF91" s="183"/>
      <c r="AG91" s="180"/>
      <c r="AH91" s="175"/>
      <c r="AI91" s="175"/>
    </row>
    <row r="92" spans="1:35" ht="15.75" x14ac:dyDescent="0.25">
      <c r="A92" s="175"/>
      <c r="B92" s="175"/>
      <c r="C92" s="179"/>
      <c r="D92" s="214" t="s">
        <v>167</v>
      </c>
      <c r="E92" s="195">
        <f>+F89*J79</f>
        <v>0.21666666666666667</v>
      </c>
      <c r="F92" s="183"/>
      <c r="G92" s="183"/>
      <c r="H92" s="183"/>
      <c r="I92" s="183"/>
      <c r="J92" s="183"/>
      <c r="K92" s="180"/>
      <c r="L92" s="175"/>
      <c r="M92" s="175"/>
      <c r="N92" s="175"/>
      <c r="O92" s="304"/>
      <c r="P92" s="366" t="s">
        <v>167</v>
      </c>
      <c r="Q92" s="324">
        <f>+R89*V79</f>
        <v>0.3</v>
      </c>
      <c r="R92" s="305"/>
      <c r="S92" s="305"/>
      <c r="T92" s="305"/>
      <c r="U92" s="305"/>
      <c r="V92" s="305"/>
      <c r="W92" s="313"/>
      <c r="X92" s="175"/>
      <c r="Y92" s="179"/>
      <c r="Z92" s="214" t="s">
        <v>167</v>
      </c>
      <c r="AA92" s="195">
        <f>+AB89*AF79</f>
        <v>0.46666666666666667</v>
      </c>
      <c r="AB92" s="183"/>
      <c r="AC92" s="183"/>
      <c r="AD92" s="183"/>
      <c r="AE92" s="183"/>
      <c r="AF92" s="183"/>
      <c r="AG92" s="180"/>
      <c r="AH92" s="175"/>
      <c r="AI92" s="175"/>
    </row>
    <row r="93" spans="1:35" ht="15.75" x14ac:dyDescent="0.25">
      <c r="A93" s="175"/>
      <c r="B93" s="175"/>
      <c r="C93" s="179"/>
      <c r="D93" s="325" t="s">
        <v>168</v>
      </c>
      <c r="E93" s="202">
        <f>+F89*J80</f>
        <v>0.46666666666666662</v>
      </c>
      <c r="F93" s="183"/>
      <c r="G93" s="183"/>
      <c r="H93" s="183"/>
      <c r="I93" s="183"/>
      <c r="J93" s="183"/>
      <c r="K93" s="180"/>
      <c r="L93" s="175"/>
      <c r="M93" s="175"/>
      <c r="N93" s="175"/>
      <c r="O93" s="304"/>
      <c r="P93" s="367" t="s">
        <v>168</v>
      </c>
      <c r="Q93" s="326">
        <f>+R89*V80</f>
        <v>0.35</v>
      </c>
      <c r="R93" s="305"/>
      <c r="S93" s="305"/>
      <c r="T93" s="305"/>
      <c r="U93" s="305"/>
      <c r="V93" s="305"/>
      <c r="W93" s="313"/>
      <c r="X93" s="175"/>
      <c r="Y93" s="179"/>
      <c r="Z93" s="325" t="s">
        <v>168</v>
      </c>
      <c r="AA93" s="202">
        <f>+AB89*AF80</f>
        <v>0.6</v>
      </c>
      <c r="AB93" s="183"/>
      <c r="AC93" s="183"/>
      <c r="AD93" s="183"/>
      <c r="AE93" s="183"/>
      <c r="AF93" s="183"/>
      <c r="AG93" s="180"/>
      <c r="AH93" s="175"/>
      <c r="AI93" s="175"/>
    </row>
    <row r="94" spans="1:35" ht="16.5" thickBot="1" x14ac:dyDescent="0.3">
      <c r="A94" s="175"/>
      <c r="B94" s="175"/>
      <c r="C94" s="179"/>
      <c r="D94" s="218" t="s">
        <v>169</v>
      </c>
      <c r="E94" s="327">
        <f>+J81*F89</f>
        <v>0.23333333333333331</v>
      </c>
      <c r="F94" s="183"/>
      <c r="G94" s="183"/>
      <c r="H94" s="183"/>
      <c r="I94" s="183"/>
      <c r="J94" s="183"/>
      <c r="K94" s="180"/>
      <c r="L94" s="175"/>
      <c r="M94" s="175"/>
      <c r="N94" s="175"/>
      <c r="O94" s="304"/>
      <c r="P94" s="368" t="s">
        <v>169</v>
      </c>
      <c r="Q94" s="328">
        <f>R89*V81</f>
        <v>0.23333333333333331</v>
      </c>
      <c r="R94" s="305"/>
      <c r="S94" s="305"/>
      <c r="T94" s="305"/>
      <c r="U94" s="305"/>
      <c r="V94" s="305"/>
      <c r="W94" s="313"/>
      <c r="X94" s="175"/>
      <c r="Y94" s="179"/>
      <c r="Z94" s="218" t="s">
        <v>169</v>
      </c>
      <c r="AA94" s="327">
        <f>+AF81*AB89</f>
        <v>0.75</v>
      </c>
      <c r="AB94" s="183"/>
      <c r="AC94" s="183"/>
      <c r="AD94" s="183"/>
      <c r="AE94" s="183"/>
      <c r="AF94" s="183"/>
      <c r="AG94" s="180"/>
      <c r="AH94" s="175"/>
      <c r="AI94" s="175"/>
    </row>
    <row r="95" spans="1:35" ht="15.75" x14ac:dyDescent="0.25">
      <c r="A95" s="175"/>
      <c r="B95" s="175"/>
      <c r="C95" s="179"/>
      <c r="D95" s="183"/>
      <c r="E95" s="555" t="s">
        <v>180</v>
      </c>
      <c r="F95" s="555"/>
      <c r="G95" s="555"/>
      <c r="H95" s="555"/>
      <c r="I95" s="183"/>
      <c r="J95" s="183"/>
      <c r="K95" s="180"/>
      <c r="L95" s="175"/>
      <c r="M95" s="175"/>
      <c r="N95" s="175"/>
      <c r="O95" s="304"/>
      <c r="P95" s="305"/>
      <c r="Q95" s="557" t="s">
        <v>180</v>
      </c>
      <c r="R95" s="555"/>
      <c r="S95" s="555"/>
      <c r="T95" s="555"/>
      <c r="U95" s="305"/>
      <c r="V95" s="305"/>
      <c r="W95" s="313"/>
      <c r="X95" s="175"/>
      <c r="Y95" s="179"/>
      <c r="Z95" s="183"/>
      <c r="AA95" s="555" t="s">
        <v>180</v>
      </c>
      <c r="AB95" s="555"/>
      <c r="AC95" s="555"/>
      <c r="AD95" s="555"/>
      <c r="AE95" s="183"/>
      <c r="AF95" s="183"/>
      <c r="AG95" s="180"/>
      <c r="AH95" s="175"/>
      <c r="AI95" s="175"/>
    </row>
    <row r="96" spans="1:35" ht="15.75" x14ac:dyDescent="0.25">
      <c r="A96" s="175"/>
      <c r="B96" s="175"/>
      <c r="C96" s="179"/>
      <c r="D96" s="206" t="s">
        <v>185</v>
      </c>
      <c r="E96" s="206" t="s">
        <v>53</v>
      </c>
      <c r="F96" s="206" t="s">
        <v>174</v>
      </c>
      <c r="G96" s="206" t="s">
        <v>221</v>
      </c>
      <c r="H96" s="206" t="s">
        <v>171</v>
      </c>
      <c r="I96" s="183"/>
      <c r="J96" s="183"/>
      <c r="K96" s="180"/>
      <c r="L96" s="175"/>
      <c r="M96" s="175"/>
      <c r="N96" s="175"/>
      <c r="O96" s="304"/>
      <c r="P96" s="293" t="s">
        <v>185</v>
      </c>
      <c r="Q96" s="293" t="s">
        <v>53</v>
      </c>
      <c r="R96" s="293" t="s">
        <v>174</v>
      </c>
      <c r="S96" s="293" t="s">
        <v>222</v>
      </c>
      <c r="T96" s="293" t="s">
        <v>171</v>
      </c>
      <c r="U96" s="305"/>
      <c r="V96" s="305"/>
      <c r="W96" s="313"/>
      <c r="X96" s="175"/>
      <c r="Y96" s="179"/>
      <c r="Z96" s="206" t="s">
        <v>185</v>
      </c>
      <c r="AA96" s="206" t="s">
        <v>53</v>
      </c>
      <c r="AB96" s="206" t="s">
        <v>174</v>
      </c>
      <c r="AC96" s="206" t="s">
        <v>221</v>
      </c>
      <c r="AD96" s="206" t="s">
        <v>171</v>
      </c>
      <c r="AE96" s="183"/>
      <c r="AF96" s="183"/>
      <c r="AG96" s="180"/>
      <c r="AH96" s="175"/>
      <c r="AI96" s="175"/>
    </row>
    <row r="97" spans="1:35" ht="15.75" x14ac:dyDescent="0.25">
      <c r="A97" s="175"/>
      <c r="B97" s="175"/>
      <c r="C97" s="179"/>
      <c r="D97" s="206">
        <v>1</v>
      </c>
      <c r="E97" s="297">
        <f>+E77</f>
        <v>1621</v>
      </c>
      <c r="F97" s="206">
        <f>$E$86</f>
        <v>4312.9990392246891</v>
      </c>
      <c r="G97" s="329">
        <f>+E92</f>
        <v>0.21666666666666667</v>
      </c>
      <c r="H97" s="205">
        <f>+E97*F97*G97</f>
        <v>1514797.1458930313</v>
      </c>
      <c r="I97" s="330"/>
      <c r="J97" s="183"/>
      <c r="K97" s="180"/>
      <c r="L97" s="175"/>
      <c r="M97" s="175"/>
      <c r="N97" s="175"/>
      <c r="O97" s="304"/>
      <c r="P97" s="293">
        <v>1</v>
      </c>
      <c r="Q97" s="299">
        <f>+Q77</f>
        <v>1095</v>
      </c>
      <c r="R97" s="293">
        <f>$E$86</f>
        <v>4312.9990392246891</v>
      </c>
      <c r="S97" s="331">
        <f>+Q92</f>
        <v>0.3</v>
      </c>
      <c r="T97" s="332">
        <f>+Q97*R97*S97</f>
        <v>1416820.1843853104</v>
      </c>
      <c r="U97" s="305"/>
      <c r="V97" s="305"/>
      <c r="W97" s="313"/>
      <c r="X97" s="175"/>
      <c r="Y97" s="179"/>
      <c r="Z97" s="206">
        <v>1</v>
      </c>
      <c r="AA97" s="297">
        <f>+AA77</f>
        <v>1133</v>
      </c>
      <c r="AB97" s="206">
        <f>$E$86</f>
        <v>4312.9990392246891</v>
      </c>
      <c r="AC97" s="329">
        <f>+AA92</f>
        <v>0.46666666666666667</v>
      </c>
      <c r="AD97" s="205">
        <f>+AA97*AB97*AC97</f>
        <v>2280426.3586727339</v>
      </c>
      <c r="AE97" s="330"/>
      <c r="AF97" s="183"/>
      <c r="AG97" s="180"/>
      <c r="AH97" s="175"/>
      <c r="AI97" s="175"/>
    </row>
    <row r="98" spans="1:35" ht="15.75" x14ac:dyDescent="0.25">
      <c r="A98" s="175"/>
      <c r="B98" s="175"/>
      <c r="C98" s="179"/>
      <c r="D98" s="206">
        <v>2</v>
      </c>
      <c r="E98" s="297">
        <f>+F77</f>
        <v>1407</v>
      </c>
      <c r="F98" s="206">
        <f t="shared" ref="F98:F100" si="21">$E$86</f>
        <v>4312.9990392246891</v>
      </c>
      <c r="G98" s="329">
        <f>+G97</f>
        <v>0.21666666666666667</v>
      </c>
      <c r="H98" s="205">
        <f>+E98*F98*G98</f>
        <v>1314817.7571076464</v>
      </c>
      <c r="I98" s="330"/>
      <c r="J98" s="183"/>
      <c r="K98" s="180"/>
      <c r="L98" s="175"/>
      <c r="M98" s="175"/>
      <c r="N98" s="175"/>
      <c r="O98" s="304"/>
      <c r="P98" s="293">
        <v>2</v>
      </c>
      <c r="Q98" s="299">
        <f>+R77</f>
        <v>883</v>
      </c>
      <c r="R98" s="293">
        <f t="shared" ref="R98:R100" si="22">$E$86</f>
        <v>4312.9990392246891</v>
      </c>
      <c r="S98" s="331">
        <f>+S97</f>
        <v>0.3</v>
      </c>
      <c r="T98" s="332">
        <f>+Q98*R98*S98</f>
        <v>1142513.4454906201</v>
      </c>
      <c r="U98" s="305"/>
      <c r="V98" s="305"/>
      <c r="W98" s="313"/>
      <c r="X98" s="175"/>
      <c r="Y98" s="179"/>
      <c r="Z98" s="206">
        <v>2</v>
      </c>
      <c r="AA98" s="297">
        <f>+AB77</f>
        <v>964</v>
      </c>
      <c r="AB98" s="206">
        <f t="shared" ref="AB98:AB100" si="23">$E$86</f>
        <v>4312.9990392246891</v>
      </c>
      <c r="AC98" s="329">
        <f>+AC97</f>
        <v>0.46666666666666667</v>
      </c>
      <c r="AD98" s="205">
        <f>+AA98*AB98*AC98</f>
        <v>1940274.5011125468</v>
      </c>
      <c r="AE98" s="330"/>
      <c r="AF98" s="183"/>
      <c r="AG98" s="180"/>
      <c r="AH98" s="175"/>
      <c r="AI98" s="175"/>
    </row>
    <row r="99" spans="1:35" ht="15.75" x14ac:dyDescent="0.25">
      <c r="A99" s="175"/>
      <c r="B99" s="175"/>
      <c r="C99" s="179"/>
      <c r="D99" s="206">
        <v>3</v>
      </c>
      <c r="E99" s="297">
        <f>+G77</f>
        <v>1351</v>
      </c>
      <c r="F99" s="206">
        <f t="shared" si="21"/>
        <v>4312.9990392246891</v>
      </c>
      <c r="G99" s="329">
        <f>+G98</f>
        <v>0.21666666666666667</v>
      </c>
      <c r="H99" s="205">
        <f>+E99*F99*G99</f>
        <v>1262486.7020983868</v>
      </c>
      <c r="I99" s="330"/>
      <c r="J99" s="183"/>
      <c r="K99" s="180"/>
      <c r="L99" s="175"/>
      <c r="M99" s="175"/>
      <c r="N99" s="175"/>
      <c r="O99" s="304"/>
      <c r="P99" s="293">
        <v>3</v>
      </c>
      <c r="Q99" s="299">
        <f>+S77</f>
        <v>869</v>
      </c>
      <c r="R99" s="293">
        <f t="shared" si="22"/>
        <v>4312.9990392246891</v>
      </c>
      <c r="S99" s="331">
        <f>+S97</f>
        <v>0.3</v>
      </c>
      <c r="T99" s="332">
        <f t="shared" ref="T99:T100" si="24">+Q99*R99*S99</f>
        <v>1124398.8495258763</v>
      </c>
      <c r="U99" s="305"/>
      <c r="V99" s="305"/>
      <c r="W99" s="313"/>
      <c r="X99" s="175"/>
      <c r="Y99" s="179"/>
      <c r="Z99" s="206">
        <v>3</v>
      </c>
      <c r="AA99" s="297">
        <f>+AC77</f>
        <v>933</v>
      </c>
      <c r="AB99" s="206">
        <f t="shared" si="23"/>
        <v>4312.9990392246891</v>
      </c>
      <c r="AC99" s="329">
        <f>+AC98</f>
        <v>0.46666666666666667</v>
      </c>
      <c r="AD99" s="205">
        <f>+AA99*AB99*AC99</f>
        <v>1877879.7816784298</v>
      </c>
      <c r="AE99" s="330"/>
      <c r="AF99" s="183"/>
      <c r="AG99" s="180"/>
      <c r="AH99" s="175"/>
      <c r="AI99" s="175"/>
    </row>
    <row r="100" spans="1:35" ht="15.75" x14ac:dyDescent="0.25">
      <c r="A100" s="175"/>
      <c r="B100" s="175"/>
      <c r="C100" s="179"/>
      <c r="D100" s="206">
        <v>4</v>
      </c>
      <c r="E100" s="297">
        <f>+H77</f>
        <v>1404</v>
      </c>
      <c r="F100" s="206">
        <f t="shared" si="21"/>
        <v>4312.9990392246891</v>
      </c>
      <c r="G100" s="329">
        <f>+G98</f>
        <v>0.21666666666666667</v>
      </c>
      <c r="H100" s="205">
        <f>+E100*F100*G100</f>
        <v>1312014.3077321504</v>
      </c>
      <c r="I100" s="330"/>
      <c r="J100" s="183"/>
      <c r="K100" s="180"/>
      <c r="L100" s="175"/>
      <c r="M100" s="175"/>
      <c r="N100" s="175"/>
      <c r="O100" s="304"/>
      <c r="P100" s="293">
        <v>4</v>
      </c>
      <c r="Q100" s="299">
        <f>+T77</f>
        <v>874</v>
      </c>
      <c r="R100" s="293">
        <f t="shared" si="22"/>
        <v>4312.9990392246891</v>
      </c>
      <c r="S100" s="331">
        <f>+S97</f>
        <v>0.3</v>
      </c>
      <c r="T100" s="332">
        <f t="shared" si="24"/>
        <v>1130868.3480847133</v>
      </c>
      <c r="U100" s="305"/>
      <c r="V100" s="305"/>
      <c r="W100" s="313"/>
      <c r="X100" s="175"/>
      <c r="Y100" s="179"/>
      <c r="Z100" s="206">
        <v>4</v>
      </c>
      <c r="AA100" s="297">
        <f>+AD77</f>
        <v>951</v>
      </c>
      <c r="AB100" s="206">
        <f t="shared" si="23"/>
        <v>4312.9990392246891</v>
      </c>
      <c r="AC100" s="329">
        <f>+AC98</f>
        <v>0.46666666666666667</v>
      </c>
      <c r="AD100" s="205">
        <f>+AA100*AB100*AC100</f>
        <v>1914108.9736079171</v>
      </c>
      <c r="AE100" s="330"/>
      <c r="AF100" s="183"/>
      <c r="AG100" s="180"/>
      <c r="AH100" s="175"/>
      <c r="AI100" s="175"/>
    </row>
    <row r="101" spans="1:35" ht="15.75" x14ac:dyDescent="0.25">
      <c r="A101" s="175"/>
      <c r="B101" s="175"/>
      <c r="C101" s="179"/>
      <c r="D101" s="206"/>
      <c r="E101" s="206"/>
      <c r="F101" s="206"/>
      <c r="G101" s="206"/>
      <c r="H101" s="333">
        <f>SUM(H97:H100)</f>
        <v>5404115.9128312152</v>
      </c>
      <c r="I101" s="183"/>
      <c r="J101" s="302"/>
      <c r="K101" s="180"/>
      <c r="L101" s="175"/>
      <c r="M101" s="175"/>
      <c r="N101" s="175"/>
      <c r="O101" s="304"/>
      <c r="P101" s="293"/>
      <c r="Q101" s="293"/>
      <c r="R101" s="293"/>
      <c r="S101" s="293"/>
      <c r="T101" s="334">
        <f>SUM(T97:T100)</f>
        <v>4814600.8274865206</v>
      </c>
      <c r="U101" s="305"/>
      <c r="V101" s="305"/>
      <c r="W101" s="313"/>
      <c r="X101" s="175"/>
      <c r="Y101" s="179"/>
      <c r="Z101" s="206"/>
      <c r="AA101" s="206"/>
      <c r="AB101" s="206"/>
      <c r="AC101" s="206"/>
      <c r="AD101" s="333">
        <f>SUM(AD97:AD100)</f>
        <v>8012689.6150716282</v>
      </c>
      <c r="AE101" s="183"/>
      <c r="AF101" s="302"/>
      <c r="AG101" s="180"/>
      <c r="AH101" s="175"/>
      <c r="AI101" s="175"/>
    </row>
    <row r="102" spans="1:35" ht="15.75" x14ac:dyDescent="0.25">
      <c r="A102" s="175"/>
      <c r="B102" s="175"/>
      <c r="C102" s="179"/>
      <c r="D102" s="206"/>
      <c r="E102" s="206"/>
      <c r="F102" s="206"/>
      <c r="G102" s="206"/>
      <c r="H102" s="206"/>
      <c r="I102" s="183"/>
      <c r="J102" s="183"/>
      <c r="K102" s="180"/>
      <c r="L102" s="175"/>
      <c r="M102" s="175"/>
      <c r="N102" s="175"/>
      <c r="O102" s="304"/>
      <c r="P102" s="293"/>
      <c r="Q102" s="293"/>
      <c r="R102" s="293"/>
      <c r="S102" s="293"/>
      <c r="T102" s="293"/>
      <c r="U102" s="305"/>
      <c r="V102" s="305"/>
      <c r="W102" s="313"/>
      <c r="X102" s="175"/>
      <c r="Y102" s="179"/>
      <c r="Z102" s="206"/>
      <c r="AA102" s="206"/>
      <c r="AB102" s="206"/>
      <c r="AC102" s="206"/>
      <c r="AD102" s="206"/>
      <c r="AE102" s="183"/>
      <c r="AF102" s="183"/>
      <c r="AG102" s="180"/>
      <c r="AH102" s="175"/>
      <c r="AI102" s="175"/>
    </row>
    <row r="103" spans="1:35" ht="15.75" x14ac:dyDescent="0.25">
      <c r="A103" s="175"/>
      <c r="B103" s="175"/>
      <c r="C103" s="179"/>
      <c r="D103" s="206" t="s">
        <v>185</v>
      </c>
      <c r="E103" s="206" t="s">
        <v>53</v>
      </c>
      <c r="F103" s="206" t="s">
        <v>174</v>
      </c>
      <c r="G103" s="206" t="s">
        <v>223</v>
      </c>
      <c r="H103" s="206" t="s">
        <v>171</v>
      </c>
      <c r="I103" s="183"/>
      <c r="J103" s="183"/>
      <c r="K103" s="180"/>
      <c r="L103" s="175"/>
      <c r="M103" s="175"/>
      <c r="N103" s="175"/>
      <c r="O103" s="304"/>
      <c r="P103" s="293" t="s">
        <v>185</v>
      </c>
      <c r="Q103" s="293" t="s">
        <v>53</v>
      </c>
      <c r="R103" s="293" t="s">
        <v>174</v>
      </c>
      <c r="S103" s="293" t="s">
        <v>224</v>
      </c>
      <c r="T103" s="293" t="s">
        <v>171</v>
      </c>
      <c r="U103" s="305"/>
      <c r="V103" s="305"/>
      <c r="W103" s="313"/>
      <c r="X103" s="175"/>
      <c r="Y103" s="179"/>
      <c r="Z103" s="206" t="s">
        <v>185</v>
      </c>
      <c r="AA103" s="206" t="s">
        <v>53</v>
      </c>
      <c r="AB103" s="206" t="s">
        <v>174</v>
      </c>
      <c r="AC103" s="206" t="s">
        <v>223</v>
      </c>
      <c r="AD103" s="206" t="s">
        <v>171</v>
      </c>
      <c r="AE103" s="183"/>
      <c r="AF103" s="183"/>
      <c r="AG103" s="180"/>
      <c r="AH103" s="175"/>
      <c r="AI103" s="175"/>
    </row>
    <row r="104" spans="1:35" ht="15.75" x14ac:dyDescent="0.25">
      <c r="A104" s="175"/>
      <c r="B104" s="175"/>
      <c r="C104" s="179"/>
      <c r="D104" s="206">
        <v>1</v>
      </c>
      <c r="E104" s="297">
        <f>+E77</f>
        <v>1621</v>
      </c>
      <c r="F104" s="206">
        <f>$E$86</f>
        <v>4312.9990392246891</v>
      </c>
      <c r="G104" s="329">
        <f>+E93</f>
        <v>0.46666666666666662</v>
      </c>
      <c r="H104" s="205">
        <f>+E104*F104*G104</f>
        <v>3262640.0065388363</v>
      </c>
      <c r="I104" s="330"/>
      <c r="J104" s="302"/>
      <c r="K104" s="180"/>
      <c r="L104" s="175"/>
      <c r="M104" s="175"/>
      <c r="N104" s="175"/>
      <c r="O104" s="304"/>
      <c r="P104" s="293">
        <v>1</v>
      </c>
      <c r="Q104" s="299">
        <f>+Q77</f>
        <v>1095</v>
      </c>
      <c r="R104" s="293">
        <f>$E$86</f>
        <v>4312.9990392246891</v>
      </c>
      <c r="S104" s="331">
        <f>+Q93</f>
        <v>0.35</v>
      </c>
      <c r="T104" s="332">
        <f>+Q104*R104*S104</f>
        <v>1652956.8817828621</v>
      </c>
      <c r="U104" s="305"/>
      <c r="V104" s="305"/>
      <c r="W104" s="313"/>
      <c r="X104" s="175"/>
      <c r="Y104" s="179"/>
      <c r="Z104" s="206">
        <v>1</v>
      </c>
      <c r="AA104" s="297">
        <f>+AA77</f>
        <v>1133</v>
      </c>
      <c r="AB104" s="206">
        <f>$E$86</f>
        <v>4312.9990392246891</v>
      </c>
      <c r="AC104" s="329">
        <f>+AA93</f>
        <v>0.6</v>
      </c>
      <c r="AD104" s="205">
        <f>+AA104*AB104*AC104</f>
        <v>2931976.7468649438</v>
      </c>
      <c r="AE104" s="330"/>
      <c r="AF104" s="302"/>
      <c r="AG104" s="180"/>
      <c r="AH104" s="175"/>
      <c r="AI104" s="175"/>
    </row>
    <row r="105" spans="1:35" ht="15.75" x14ac:dyDescent="0.25">
      <c r="A105" s="175"/>
      <c r="B105" s="175"/>
      <c r="C105" s="179"/>
      <c r="D105" s="206">
        <v>2</v>
      </c>
      <c r="E105" s="297">
        <f>+F77</f>
        <v>1407</v>
      </c>
      <c r="F105" s="206">
        <f t="shared" ref="F105:F107" si="25">$E$86</f>
        <v>4312.9990392246891</v>
      </c>
      <c r="G105" s="329">
        <f>+E93</f>
        <v>0.46666666666666662</v>
      </c>
      <c r="H105" s="205">
        <f>+E105*F105*G105</f>
        <v>2831915.1691549309</v>
      </c>
      <c r="I105" s="183"/>
      <c r="J105" s="302"/>
      <c r="K105" s="180"/>
      <c r="L105" s="175"/>
      <c r="M105" s="175"/>
      <c r="N105" s="175"/>
      <c r="O105" s="304"/>
      <c r="P105" s="293">
        <v>2</v>
      </c>
      <c r="Q105" s="299">
        <f>+R77</f>
        <v>883</v>
      </c>
      <c r="R105" s="293">
        <f t="shared" ref="R105:R107" si="26">$E$86</f>
        <v>4312.9990392246891</v>
      </c>
      <c r="S105" s="331">
        <f>+S104</f>
        <v>0.35</v>
      </c>
      <c r="T105" s="332">
        <f>+Q105*R105*S105</f>
        <v>1332932.3530723902</v>
      </c>
      <c r="U105" s="305"/>
      <c r="V105" s="305"/>
      <c r="W105" s="313"/>
      <c r="X105" s="175"/>
      <c r="Y105" s="179"/>
      <c r="Z105" s="206">
        <v>2</v>
      </c>
      <c r="AA105" s="297">
        <f>+AB77</f>
        <v>964</v>
      </c>
      <c r="AB105" s="206">
        <f t="shared" ref="AB105:AB107" si="27">$E$86</f>
        <v>4312.9990392246891</v>
      </c>
      <c r="AC105" s="329">
        <f>+AA93</f>
        <v>0.6</v>
      </c>
      <c r="AD105" s="205">
        <f>+AA105*AB105*AC105</f>
        <v>2494638.6442875601</v>
      </c>
      <c r="AE105" s="183"/>
      <c r="AF105" s="302"/>
      <c r="AG105" s="180"/>
      <c r="AH105" s="175"/>
      <c r="AI105" s="175"/>
    </row>
    <row r="106" spans="1:35" ht="15.75" x14ac:dyDescent="0.25">
      <c r="A106" s="175"/>
      <c r="B106" s="175"/>
      <c r="C106" s="179"/>
      <c r="D106" s="206">
        <v>3</v>
      </c>
      <c r="E106" s="297">
        <f>+G77</f>
        <v>1351</v>
      </c>
      <c r="F106" s="206">
        <f t="shared" si="25"/>
        <v>4312.9990392246891</v>
      </c>
      <c r="G106" s="329">
        <f>+E93</f>
        <v>0.46666666666666662</v>
      </c>
      <c r="H106" s="205">
        <f>+E106*F106*G106</f>
        <v>2719202.127596525</v>
      </c>
      <c r="I106" s="183"/>
      <c r="J106" s="302"/>
      <c r="K106" s="180"/>
      <c r="L106" s="175"/>
      <c r="M106" s="175"/>
      <c r="N106" s="175"/>
      <c r="O106" s="304"/>
      <c r="P106" s="293">
        <v>3</v>
      </c>
      <c r="Q106" s="299">
        <f>+S77</f>
        <v>869</v>
      </c>
      <c r="R106" s="293">
        <f t="shared" si="26"/>
        <v>4312.9990392246891</v>
      </c>
      <c r="S106" s="331">
        <f>+S104</f>
        <v>0.35</v>
      </c>
      <c r="T106" s="332">
        <f>+Q106*R106*S106</f>
        <v>1311798.6577801891</v>
      </c>
      <c r="U106" s="305"/>
      <c r="V106" s="305"/>
      <c r="W106" s="313"/>
      <c r="X106" s="175"/>
      <c r="Y106" s="179"/>
      <c r="Z106" s="206">
        <v>3</v>
      </c>
      <c r="AA106" s="297">
        <f>+AC77</f>
        <v>933</v>
      </c>
      <c r="AB106" s="206">
        <f t="shared" si="27"/>
        <v>4312.9990392246891</v>
      </c>
      <c r="AC106" s="329">
        <f>+AA93</f>
        <v>0.6</v>
      </c>
      <c r="AD106" s="205">
        <f>+AA106*AB106*AC106</f>
        <v>2414416.8621579809</v>
      </c>
      <c r="AE106" s="183"/>
      <c r="AF106" s="302"/>
      <c r="AG106" s="180"/>
      <c r="AH106" s="175"/>
      <c r="AI106" s="175"/>
    </row>
    <row r="107" spans="1:35" ht="15.75" x14ac:dyDescent="0.25">
      <c r="A107" s="175"/>
      <c r="B107" s="175"/>
      <c r="C107" s="179"/>
      <c r="D107" s="206">
        <v>4</v>
      </c>
      <c r="E107" s="297">
        <f>+H77</f>
        <v>1404</v>
      </c>
      <c r="F107" s="206">
        <f t="shared" si="25"/>
        <v>4312.9990392246891</v>
      </c>
      <c r="G107" s="329">
        <f>+E93</f>
        <v>0.46666666666666662</v>
      </c>
      <c r="H107" s="205">
        <f>+E107*F107*G107</f>
        <v>2825876.9705000161</v>
      </c>
      <c r="I107" s="183"/>
      <c r="J107" s="302"/>
      <c r="K107" s="180"/>
      <c r="L107" s="175"/>
      <c r="M107" s="175"/>
      <c r="N107" s="175"/>
      <c r="O107" s="304"/>
      <c r="P107" s="293">
        <v>4</v>
      </c>
      <c r="Q107" s="299">
        <f>+T77</f>
        <v>874</v>
      </c>
      <c r="R107" s="293">
        <f t="shared" si="26"/>
        <v>4312.9990392246891</v>
      </c>
      <c r="S107" s="331">
        <f>+S104</f>
        <v>0.35</v>
      </c>
      <c r="T107" s="332">
        <f t="shared" ref="T107" si="28">+Q107*R107*S107</f>
        <v>1319346.4060988321</v>
      </c>
      <c r="U107" s="305"/>
      <c r="V107" s="305"/>
      <c r="W107" s="313"/>
      <c r="X107" s="175"/>
      <c r="Y107" s="179"/>
      <c r="Z107" s="206">
        <v>4</v>
      </c>
      <c r="AA107" s="297">
        <f>+AD77</f>
        <v>951</v>
      </c>
      <c r="AB107" s="206">
        <f t="shared" si="27"/>
        <v>4312.9990392246891</v>
      </c>
      <c r="AC107" s="329">
        <f>+AA93</f>
        <v>0.6</v>
      </c>
      <c r="AD107" s="205">
        <f>+AA107*AB107*AC107</f>
        <v>2460997.2517816075</v>
      </c>
      <c r="AE107" s="183"/>
      <c r="AF107" s="302"/>
      <c r="AG107" s="180"/>
      <c r="AH107" s="175"/>
      <c r="AI107" s="175"/>
    </row>
    <row r="108" spans="1:35" ht="15.75" x14ac:dyDescent="0.25">
      <c r="A108" s="175"/>
      <c r="B108" s="175"/>
      <c r="C108" s="179"/>
      <c r="D108" s="206"/>
      <c r="E108" s="206"/>
      <c r="F108" s="206"/>
      <c r="G108" s="206"/>
      <c r="H108" s="333">
        <f>SUM(H104:H107)</f>
        <v>11639634.273790309</v>
      </c>
      <c r="I108" s="183"/>
      <c r="J108" s="302"/>
      <c r="K108" s="180"/>
      <c r="L108" s="175"/>
      <c r="M108" s="175"/>
      <c r="N108" s="175"/>
      <c r="O108" s="304"/>
      <c r="P108" s="293"/>
      <c r="Q108" s="293"/>
      <c r="R108" s="293"/>
      <c r="S108" s="293"/>
      <c r="T108" s="334">
        <f>SUM(T104:T107)</f>
        <v>5617034.2987342738</v>
      </c>
      <c r="U108" s="305"/>
      <c r="V108" s="305"/>
      <c r="W108" s="313"/>
      <c r="X108" s="175"/>
      <c r="Y108" s="179"/>
      <c r="Z108" s="206"/>
      <c r="AA108" s="206"/>
      <c r="AB108" s="206"/>
      <c r="AC108" s="206"/>
      <c r="AD108" s="333">
        <f>SUM(AD104:AD107)</f>
        <v>10302029.505092092</v>
      </c>
      <c r="AE108" s="183"/>
      <c r="AF108" s="302"/>
      <c r="AG108" s="180"/>
      <c r="AH108" s="175"/>
      <c r="AI108" s="175"/>
    </row>
    <row r="109" spans="1:35" ht="15.75" x14ac:dyDescent="0.25">
      <c r="A109" s="175"/>
      <c r="B109" s="175"/>
      <c r="C109" s="179"/>
      <c r="D109" s="206"/>
      <c r="E109" s="206"/>
      <c r="F109" s="206"/>
      <c r="G109" s="206"/>
      <c r="H109" s="206"/>
      <c r="I109" s="183"/>
      <c r="J109" s="183"/>
      <c r="K109" s="180"/>
      <c r="L109" s="175"/>
      <c r="M109" s="175"/>
      <c r="N109" s="175"/>
      <c r="O109" s="304"/>
      <c r="P109" s="293"/>
      <c r="Q109" s="293"/>
      <c r="R109" s="293"/>
      <c r="S109" s="293"/>
      <c r="T109" s="293"/>
      <c r="U109" s="305"/>
      <c r="V109" s="305"/>
      <c r="W109" s="313"/>
      <c r="X109" s="175"/>
      <c r="Y109" s="179"/>
      <c r="Z109" s="206"/>
      <c r="AA109" s="206"/>
      <c r="AB109" s="206"/>
      <c r="AC109" s="206"/>
      <c r="AD109" s="206"/>
      <c r="AE109" s="183"/>
      <c r="AF109" s="183"/>
      <c r="AG109" s="180"/>
      <c r="AH109" s="175"/>
      <c r="AI109" s="175"/>
    </row>
    <row r="110" spans="1:35" ht="15.75" x14ac:dyDescent="0.25">
      <c r="A110" s="175"/>
      <c r="B110" s="175"/>
      <c r="C110" s="179"/>
      <c r="D110" s="206" t="s">
        <v>185</v>
      </c>
      <c r="E110" s="206" t="s">
        <v>53</v>
      </c>
      <c r="F110" s="206" t="s">
        <v>174</v>
      </c>
      <c r="G110" s="206" t="s">
        <v>225</v>
      </c>
      <c r="H110" s="206" t="s">
        <v>171</v>
      </c>
      <c r="I110" s="183"/>
      <c r="J110" s="183"/>
      <c r="K110" s="180"/>
      <c r="L110" s="175"/>
      <c r="M110" s="175"/>
      <c r="N110" s="175"/>
      <c r="O110" s="304"/>
      <c r="P110" s="293" t="s">
        <v>185</v>
      </c>
      <c r="Q110" s="293" t="s">
        <v>53</v>
      </c>
      <c r="R110" s="293" t="s">
        <v>174</v>
      </c>
      <c r="S110" s="293" t="s">
        <v>226</v>
      </c>
      <c r="T110" s="293" t="s">
        <v>171</v>
      </c>
      <c r="U110" s="305"/>
      <c r="V110" s="305"/>
      <c r="W110" s="313"/>
      <c r="X110" s="175"/>
      <c r="Y110" s="179"/>
      <c r="Z110" s="206" t="s">
        <v>185</v>
      </c>
      <c r="AA110" s="206" t="s">
        <v>53</v>
      </c>
      <c r="AB110" s="206" t="s">
        <v>174</v>
      </c>
      <c r="AC110" s="206" t="s">
        <v>225</v>
      </c>
      <c r="AD110" s="206" t="s">
        <v>171</v>
      </c>
      <c r="AE110" s="183"/>
      <c r="AF110" s="183"/>
      <c r="AG110" s="180"/>
      <c r="AH110" s="175"/>
      <c r="AI110" s="175"/>
    </row>
    <row r="111" spans="1:35" ht="15.75" x14ac:dyDescent="0.25">
      <c r="A111" s="175"/>
      <c r="B111" s="175"/>
      <c r="C111" s="179"/>
      <c r="D111" s="206">
        <v>1</v>
      </c>
      <c r="E111" s="297">
        <f>+E77</f>
        <v>1621</v>
      </c>
      <c r="F111" s="206">
        <f>$E$86</f>
        <v>4312.9990392246891</v>
      </c>
      <c r="G111" s="329">
        <f>+E94</f>
        <v>0.23333333333333331</v>
      </c>
      <c r="H111" s="205">
        <f>+E111*F111*G111</f>
        <v>1631320.0032694181</v>
      </c>
      <c r="I111" s="330"/>
      <c r="J111" s="302"/>
      <c r="K111" s="180"/>
      <c r="L111" s="175"/>
      <c r="M111" s="175"/>
      <c r="N111" s="175"/>
      <c r="O111" s="304"/>
      <c r="P111" s="293">
        <v>1</v>
      </c>
      <c r="Q111" s="299">
        <f>+Q77</f>
        <v>1095</v>
      </c>
      <c r="R111" s="293">
        <f>$E$86</f>
        <v>4312.9990392246891</v>
      </c>
      <c r="S111" s="331">
        <f>+Q94</f>
        <v>0.23333333333333331</v>
      </c>
      <c r="T111" s="332">
        <f>+Q111*R111*S111</f>
        <v>1101971.254521908</v>
      </c>
      <c r="U111" s="305"/>
      <c r="V111" s="305"/>
      <c r="W111" s="313"/>
      <c r="X111" s="175"/>
      <c r="Y111" s="179"/>
      <c r="Z111" s="206">
        <v>1</v>
      </c>
      <c r="AA111" s="297">
        <f>+AA77</f>
        <v>1133</v>
      </c>
      <c r="AB111" s="206">
        <f>$E$86</f>
        <v>4312.9990392246891</v>
      </c>
      <c r="AC111" s="329">
        <f>+AA94</f>
        <v>0.75</v>
      </c>
      <c r="AD111" s="205">
        <f>+AA111*AB111*AC111</f>
        <v>3664970.9335811799</v>
      </c>
      <c r="AE111" s="330"/>
      <c r="AF111" s="302"/>
      <c r="AG111" s="180"/>
      <c r="AH111" s="175"/>
      <c r="AI111" s="175"/>
    </row>
    <row r="112" spans="1:35" ht="15.75" x14ac:dyDescent="0.25">
      <c r="A112" s="175"/>
      <c r="B112" s="175"/>
      <c r="C112" s="179"/>
      <c r="D112" s="206">
        <v>2</v>
      </c>
      <c r="E112" s="297">
        <f>+F77</f>
        <v>1407</v>
      </c>
      <c r="F112" s="206">
        <f t="shared" ref="F112:F114" si="29">$E$86</f>
        <v>4312.9990392246891</v>
      </c>
      <c r="G112" s="329">
        <f>+E94</f>
        <v>0.23333333333333331</v>
      </c>
      <c r="H112" s="205">
        <f t="shared" ref="H112:H114" si="30">+E112*F112*G112</f>
        <v>1415957.5845774654</v>
      </c>
      <c r="I112" s="183"/>
      <c r="J112" s="302"/>
      <c r="K112" s="180"/>
      <c r="L112" s="175"/>
      <c r="M112" s="175"/>
      <c r="N112" s="175"/>
      <c r="O112" s="304"/>
      <c r="P112" s="293">
        <v>2</v>
      </c>
      <c r="Q112" s="299">
        <f>+R77</f>
        <v>883</v>
      </c>
      <c r="R112" s="293">
        <f t="shared" ref="R112:R114" si="31">$E$86</f>
        <v>4312.9990392246891</v>
      </c>
      <c r="S112" s="331">
        <f>+S111</f>
        <v>0.23333333333333331</v>
      </c>
      <c r="T112" s="332">
        <f t="shared" ref="T112:T114" si="32">+Q112*R112*S112</f>
        <v>888621.56871492672</v>
      </c>
      <c r="U112" s="305"/>
      <c r="V112" s="305"/>
      <c r="W112" s="313"/>
      <c r="X112" s="175"/>
      <c r="Y112" s="179"/>
      <c r="Z112" s="206">
        <v>2</v>
      </c>
      <c r="AA112" s="297">
        <f>+AB77</f>
        <v>964</v>
      </c>
      <c r="AB112" s="206">
        <f t="shared" ref="AB112:AB114" si="33">$E$86</f>
        <v>4312.9990392246891</v>
      </c>
      <c r="AC112" s="329">
        <f>+AA94</f>
        <v>0.75</v>
      </c>
      <c r="AD112" s="205">
        <f t="shared" ref="AD112:AD114" si="34">+AA112*AB112*AC112</f>
        <v>3118298.3053594502</v>
      </c>
      <c r="AE112" s="183"/>
      <c r="AF112" s="302"/>
      <c r="AG112" s="180"/>
      <c r="AH112" s="175"/>
      <c r="AI112" s="175"/>
    </row>
    <row r="113" spans="1:35" ht="15.75" x14ac:dyDescent="0.25">
      <c r="A113" s="175"/>
      <c r="B113" s="175"/>
      <c r="C113" s="179"/>
      <c r="D113" s="206">
        <v>3</v>
      </c>
      <c r="E113" s="297">
        <f>+G77</f>
        <v>1351</v>
      </c>
      <c r="F113" s="206">
        <f t="shared" si="29"/>
        <v>4312.9990392246891</v>
      </c>
      <c r="G113" s="329">
        <f>+E94</f>
        <v>0.23333333333333331</v>
      </c>
      <c r="H113" s="205">
        <f t="shared" si="30"/>
        <v>1359601.0637982625</v>
      </c>
      <c r="I113" s="183"/>
      <c r="J113" s="302"/>
      <c r="K113" s="180"/>
      <c r="L113" s="175"/>
      <c r="M113" s="175"/>
      <c r="N113" s="175"/>
      <c r="O113" s="304"/>
      <c r="P113" s="293">
        <v>3</v>
      </c>
      <c r="Q113" s="299">
        <f>+S77</f>
        <v>869</v>
      </c>
      <c r="R113" s="293">
        <f t="shared" si="31"/>
        <v>4312.9990392246891</v>
      </c>
      <c r="S113" s="331">
        <f>+S111</f>
        <v>0.23333333333333331</v>
      </c>
      <c r="T113" s="332">
        <f t="shared" si="32"/>
        <v>874532.43852012604</v>
      </c>
      <c r="U113" s="305"/>
      <c r="V113" s="305"/>
      <c r="W113" s="313"/>
      <c r="X113" s="175"/>
      <c r="Y113" s="179"/>
      <c r="Z113" s="206">
        <v>3</v>
      </c>
      <c r="AA113" s="297">
        <f>+AC77</f>
        <v>933</v>
      </c>
      <c r="AB113" s="206">
        <f t="shared" si="33"/>
        <v>4312.9990392246891</v>
      </c>
      <c r="AC113" s="329">
        <f>+AA94</f>
        <v>0.75</v>
      </c>
      <c r="AD113" s="205">
        <f t="shared" si="34"/>
        <v>3018021.0776974764</v>
      </c>
      <c r="AE113" s="183"/>
      <c r="AF113" s="302"/>
      <c r="AG113" s="180"/>
      <c r="AH113" s="175"/>
      <c r="AI113" s="175"/>
    </row>
    <row r="114" spans="1:35" ht="15.75" x14ac:dyDescent="0.25">
      <c r="A114" s="175"/>
      <c r="B114" s="175"/>
      <c r="C114" s="179"/>
      <c r="D114" s="206">
        <v>4</v>
      </c>
      <c r="E114" s="297">
        <f>+H77</f>
        <v>1404</v>
      </c>
      <c r="F114" s="206">
        <f t="shared" si="29"/>
        <v>4312.9990392246891</v>
      </c>
      <c r="G114" s="329">
        <f>+E94</f>
        <v>0.23333333333333331</v>
      </c>
      <c r="H114" s="205">
        <f t="shared" si="30"/>
        <v>1412938.4852500081</v>
      </c>
      <c r="I114" s="183"/>
      <c r="J114" s="302"/>
      <c r="K114" s="180"/>
      <c r="L114" s="175"/>
      <c r="M114" s="175"/>
      <c r="N114" s="175"/>
      <c r="O114" s="335"/>
      <c r="P114" s="293">
        <v>4</v>
      </c>
      <c r="Q114" s="299">
        <f>+T77</f>
        <v>874</v>
      </c>
      <c r="R114" s="293">
        <f t="shared" si="31"/>
        <v>4312.9990392246891</v>
      </c>
      <c r="S114" s="331">
        <f>+S111</f>
        <v>0.23333333333333331</v>
      </c>
      <c r="T114" s="332">
        <f t="shared" si="32"/>
        <v>879564.27073255484</v>
      </c>
      <c r="U114" s="305"/>
      <c r="V114" s="305"/>
      <c r="W114" s="313"/>
      <c r="X114" s="175"/>
      <c r="Y114" s="179"/>
      <c r="Z114" s="206">
        <v>4</v>
      </c>
      <c r="AA114" s="297">
        <f>+AD77</f>
        <v>951</v>
      </c>
      <c r="AB114" s="206">
        <f t="shared" si="33"/>
        <v>4312.9990392246891</v>
      </c>
      <c r="AC114" s="329">
        <f>+AA94</f>
        <v>0.75</v>
      </c>
      <c r="AD114" s="205">
        <f t="shared" si="34"/>
        <v>3076246.5647270097</v>
      </c>
      <c r="AE114" s="183"/>
      <c r="AF114" s="302"/>
      <c r="AG114" s="180"/>
      <c r="AH114" s="175"/>
      <c r="AI114" s="175"/>
    </row>
    <row r="115" spans="1:35" ht="15.75" x14ac:dyDescent="0.25">
      <c r="A115" s="175"/>
      <c r="B115" s="175"/>
      <c r="C115" s="179"/>
      <c r="D115" s="206"/>
      <c r="E115" s="206"/>
      <c r="F115" s="206"/>
      <c r="G115" s="206"/>
      <c r="H115" s="333">
        <f>SUM(H111:H114)</f>
        <v>5819817.1368951546</v>
      </c>
      <c r="I115" s="183"/>
      <c r="J115" s="302"/>
      <c r="K115" s="180"/>
      <c r="L115" s="175"/>
      <c r="M115" s="175"/>
      <c r="N115" s="175"/>
      <c r="O115" s="336"/>
      <c r="P115" s="293"/>
      <c r="Q115" s="293"/>
      <c r="R115" s="293"/>
      <c r="S115" s="293"/>
      <c r="T115" s="334">
        <f>SUM(T111:T114)</f>
        <v>3744689.5324895158</v>
      </c>
      <c r="U115" s="305"/>
      <c r="V115" s="305"/>
      <c r="W115" s="313"/>
      <c r="X115" s="143"/>
      <c r="Y115" s="179"/>
      <c r="Z115" s="206"/>
      <c r="AA115" s="206"/>
      <c r="AB115" s="206"/>
      <c r="AC115" s="206"/>
      <c r="AD115" s="333">
        <f>SUM(AD111:AD114)</f>
        <v>12877536.881365117</v>
      </c>
      <c r="AE115" s="183"/>
      <c r="AF115" s="302"/>
      <c r="AG115" s="180"/>
      <c r="AH115" s="175"/>
      <c r="AI115" s="175"/>
    </row>
    <row r="116" spans="1:35" ht="15.75" x14ac:dyDescent="0.25">
      <c r="A116" s="175"/>
      <c r="B116" s="175"/>
      <c r="C116" s="179"/>
      <c r="D116" s="183"/>
      <c r="E116" s="183"/>
      <c r="F116" s="183"/>
      <c r="G116" s="183"/>
      <c r="H116" s="278"/>
      <c r="I116" s="337">
        <f>+H101+H108+H115</f>
        <v>22863567.323516678</v>
      </c>
      <c r="J116" s="183"/>
      <c r="K116" s="180"/>
      <c r="L116" s="175"/>
      <c r="M116" s="175"/>
      <c r="N116" s="175"/>
      <c r="O116" s="304"/>
      <c r="P116" s="305"/>
      <c r="Q116" s="305"/>
      <c r="R116" s="305"/>
      <c r="S116" s="305"/>
      <c r="T116" s="305"/>
      <c r="U116" s="338">
        <f>+T101+T108+T115</f>
        <v>14176324.65871031</v>
      </c>
      <c r="V116" s="310"/>
      <c r="W116" s="339"/>
      <c r="X116" s="143"/>
      <c r="Y116" s="179"/>
      <c r="Z116" s="183"/>
      <c r="AA116" s="183"/>
      <c r="AB116" s="183"/>
      <c r="AC116" s="183"/>
      <c r="AD116" s="278"/>
      <c r="AE116" s="337">
        <f>+AD101+AD108+AD115</f>
        <v>31192256.001528837</v>
      </c>
      <c r="AF116" s="183"/>
      <c r="AG116" s="180"/>
      <c r="AH116" s="175"/>
      <c r="AI116" s="175"/>
    </row>
    <row r="117" spans="1:35" ht="16.5" thickBot="1" x14ac:dyDescent="0.3">
      <c r="A117" s="175"/>
      <c r="B117" s="175"/>
      <c r="C117" s="179"/>
      <c r="D117" s="183"/>
      <c r="E117" s="183"/>
      <c r="F117" s="183"/>
      <c r="G117" s="340" t="s">
        <v>227</v>
      </c>
      <c r="H117" s="341">
        <f>+H101+H108+H115+T101+T108+T115+AD101+AD108+AD115</f>
        <v>68232147.983755812</v>
      </c>
      <c r="I117" s="342"/>
      <c r="J117" s="278"/>
      <c r="K117" s="180"/>
      <c r="L117" s="175"/>
      <c r="M117" s="175"/>
      <c r="N117" s="175"/>
      <c r="O117" s="304"/>
      <c r="P117" s="305"/>
      <c r="Q117" s="310"/>
      <c r="R117" s="305"/>
      <c r="S117" s="305"/>
      <c r="T117" s="305"/>
      <c r="U117" s="343"/>
      <c r="V117" s="343"/>
      <c r="W117" s="344"/>
      <c r="X117" s="143"/>
      <c r="Y117" s="179"/>
      <c r="Z117" s="183"/>
      <c r="AA117" s="183"/>
      <c r="AB117" s="183"/>
      <c r="AC117" s="340" t="s">
        <v>227</v>
      </c>
      <c r="AD117" s="341">
        <f>+AD101+AD108+AD115+AP101+AP108+AP115</f>
        <v>31192256.001528837</v>
      </c>
      <c r="AE117" s="342"/>
      <c r="AF117" s="278"/>
      <c r="AG117" s="180"/>
      <c r="AH117" s="175"/>
      <c r="AI117" s="175"/>
    </row>
    <row r="118" spans="1:35" ht="15.75" x14ac:dyDescent="0.25">
      <c r="A118" s="175"/>
      <c r="B118" s="175"/>
      <c r="C118" s="179"/>
      <c r="D118" s="183"/>
      <c r="E118" s="214" t="s">
        <v>18</v>
      </c>
      <c r="F118" s="215" t="s">
        <v>19</v>
      </c>
      <c r="G118" s="215" t="s">
        <v>20</v>
      </c>
      <c r="H118" s="195" t="s">
        <v>21</v>
      </c>
      <c r="I118" s="183"/>
      <c r="J118" s="183"/>
      <c r="K118" s="180"/>
      <c r="L118" s="175"/>
      <c r="M118" s="175"/>
      <c r="N118" s="175"/>
      <c r="O118" s="304"/>
      <c r="P118" s="305"/>
      <c r="Q118" s="316" t="s">
        <v>18</v>
      </c>
      <c r="R118" s="345" t="s">
        <v>19</v>
      </c>
      <c r="S118" s="345" t="s">
        <v>20</v>
      </c>
      <c r="T118" s="318" t="s">
        <v>21</v>
      </c>
      <c r="U118" s="343"/>
      <c r="V118" s="343"/>
      <c r="W118" s="344"/>
      <c r="X118" s="143"/>
      <c r="Y118" s="179"/>
      <c r="Z118" s="183"/>
      <c r="AA118" s="214" t="s">
        <v>18</v>
      </c>
      <c r="AB118" s="215" t="s">
        <v>19</v>
      </c>
      <c r="AC118" s="215" t="s">
        <v>20</v>
      </c>
      <c r="AD118" s="195" t="s">
        <v>21</v>
      </c>
      <c r="AE118" s="183"/>
      <c r="AF118" s="183"/>
      <c r="AG118" s="180"/>
      <c r="AH118" s="175"/>
      <c r="AI118" s="175"/>
    </row>
    <row r="119" spans="1:35" ht="16.5" thickBot="1" x14ac:dyDescent="0.3">
      <c r="A119" s="175"/>
      <c r="B119" s="175"/>
      <c r="C119" s="279"/>
      <c r="D119" s="248"/>
      <c r="E119" s="346">
        <f>+H97+H104+H111</f>
        <v>6408757.1557012862</v>
      </c>
      <c r="F119" s="347">
        <f>+H98+H105+H112</f>
        <v>5562690.5108400425</v>
      </c>
      <c r="G119" s="347">
        <f>+H99+H106+H113</f>
        <v>5341289.8934931746</v>
      </c>
      <c r="H119" s="348">
        <f>+H100+H107+H114</f>
        <v>5550829.7634821748</v>
      </c>
      <c r="I119" s="248"/>
      <c r="J119" s="248"/>
      <c r="K119" s="249"/>
      <c r="L119" s="175"/>
      <c r="M119" s="175"/>
      <c r="N119" s="175"/>
      <c r="O119" s="349"/>
      <c r="P119" s="350"/>
      <c r="Q119" s="351">
        <f>+T97+T104+T111</f>
        <v>4171748.3206900805</v>
      </c>
      <c r="R119" s="352">
        <f>+T98+T105+T112</f>
        <v>3364067.367277937</v>
      </c>
      <c r="S119" s="352">
        <f>+T99+T106+T113</f>
        <v>3310729.9458261915</v>
      </c>
      <c r="T119" s="353">
        <f>+T100+T107+T114</f>
        <v>3329779.0249161003</v>
      </c>
      <c r="U119" s="354"/>
      <c r="V119" s="354"/>
      <c r="W119" s="355"/>
      <c r="X119" s="143"/>
      <c r="Y119" s="279"/>
      <c r="Z119" s="248"/>
      <c r="AA119" s="346">
        <f>+AD97+AD104+AD111</f>
        <v>8877374.0391188562</v>
      </c>
      <c r="AB119" s="347">
        <f>+AD98+AD105+AD112</f>
        <v>7553211.4507595571</v>
      </c>
      <c r="AC119" s="347">
        <f>+AD99+AD106+AD113</f>
        <v>7310317.7215338871</v>
      </c>
      <c r="AD119" s="348">
        <f>+AD100+AD107+AD114</f>
        <v>7451352.7901165336</v>
      </c>
      <c r="AE119" s="248"/>
      <c r="AF119" s="248"/>
      <c r="AG119" s="249"/>
      <c r="AH119" s="175"/>
      <c r="AI119" s="175"/>
    </row>
    <row r="120" spans="1:35" ht="15.75" x14ac:dyDescent="0.25">
      <c r="A120" s="175"/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175"/>
      <c r="Q120" s="175"/>
      <c r="R120" s="175"/>
      <c r="S120" s="175"/>
      <c r="T120" s="175"/>
      <c r="U120" s="175"/>
      <c r="V120" s="175"/>
      <c r="W120" s="175"/>
      <c r="X120" s="175"/>
      <c r="Y120" s="175"/>
      <c r="Z120" s="175"/>
      <c r="AA120" s="175"/>
      <c r="AB120" s="175"/>
      <c r="AC120" s="175"/>
      <c r="AD120" s="175"/>
      <c r="AE120" s="175"/>
      <c r="AF120" s="175"/>
      <c r="AG120" s="175"/>
      <c r="AH120" s="175"/>
      <c r="AI120" s="175"/>
    </row>
    <row r="121" spans="1:35" ht="15.75" x14ac:dyDescent="0.25">
      <c r="A121" s="175"/>
      <c r="B121" s="175"/>
      <c r="C121" s="175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5"/>
      <c r="R121" s="175"/>
      <c r="S121" s="175"/>
      <c r="T121" s="175"/>
      <c r="U121" s="175"/>
      <c r="V121" s="175"/>
      <c r="W121" s="175"/>
      <c r="X121" s="175"/>
      <c r="Y121" s="175"/>
      <c r="Z121" s="175"/>
      <c r="AA121" s="175"/>
      <c r="AB121" s="175"/>
      <c r="AC121" s="175"/>
      <c r="AD121" s="175"/>
      <c r="AE121" s="175"/>
      <c r="AF121" s="175"/>
      <c r="AG121" s="175"/>
      <c r="AH121" s="175"/>
      <c r="AI121" s="175"/>
    </row>
    <row r="122" spans="1:35" ht="15.75" x14ac:dyDescent="0.25">
      <c r="A122" s="175"/>
      <c r="B122" s="175"/>
      <c r="C122" s="175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U122" s="175"/>
      <c r="V122" s="175"/>
      <c r="W122" s="175"/>
      <c r="X122" s="175"/>
      <c r="Y122" s="175"/>
      <c r="Z122" s="175"/>
      <c r="AA122" s="175"/>
      <c r="AB122" s="175"/>
      <c r="AC122" s="175"/>
      <c r="AD122" s="175"/>
      <c r="AE122" s="175"/>
      <c r="AF122" s="175"/>
      <c r="AG122" s="175"/>
      <c r="AH122" s="175"/>
      <c r="AI122" s="175"/>
    </row>
    <row r="123" spans="1:35" ht="15.75" x14ac:dyDescent="0.25">
      <c r="A123" s="175"/>
      <c r="B123" s="175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175"/>
      <c r="Q123" s="175"/>
      <c r="R123" s="175"/>
      <c r="S123" s="175"/>
      <c r="T123" s="175"/>
      <c r="U123" s="175"/>
      <c r="V123" s="175"/>
      <c r="W123" s="175"/>
      <c r="X123" s="175"/>
      <c r="Y123" s="175"/>
      <c r="Z123" s="175"/>
      <c r="AA123" s="175"/>
      <c r="AB123" s="175"/>
      <c r="AC123" s="175"/>
      <c r="AD123" s="175"/>
      <c r="AE123" s="175"/>
      <c r="AF123" s="175"/>
      <c r="AG123" s="175"/>
      <c r="AH123" s="175"/>
      <c r="AI123" s="175"/>
    </row>
    <row r="124" spans="1:35" ht="15.75" x14ac:dyDescent="0.25">
      <c r="A124" s="175"/>
      <c r="B124" s="175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75"/>
      <c r="X124" s="175"/>
      <c r="Y124" s="175"/>
      <c r="Z124" s="175"/>
      <c r="AA124" s="175"/>
      <c r="AB124" s="175"/>
      <c r="AC124" s="175"/>
      <c r="AD124" s="175"/>
      <c r="AE124" s="175"/>
      <c r="AF124" s="175"/>
      <c r="AG124" s="175"/>
      <c r="AH124" s="175"/>
      <c r="AI124" s="175"/>
    </row>
    <row r="125" spans="1:35" ht="15.75" x14ac:dyDescent="0.25">
      <c r="A125" s="175"/>
      <c r="B125" s="175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5"/>
      <c r="R125" s="175"/>
      <c r="S125" s="175"/>
      <c r="T125" s="175"/>
      <c r="U125" s="175"/>
      <c r="V125" s="175"/>
      <c r="W125" s="175"/>
      <c r="X125" s="175"/>
      <c r="Y125" s="175"/>
      <c r="Z125" s="175"/>
      <c r="AA125" s="175"/>
      <c r="AB125" s="175"/>
      <c r="AC125" s="175"/>
      <c r="AD125" s="175"/>
      <c r="AE125" s="175"/>
      <c r="AF125" s="175"/>
      <c r="AG125" s="175"/>
      <c r="AH125" s="175"/>
      <c r="AI125" s="175"/>
    </row>
    <row r="126" spans="1:35" ht="15.75" x14ac:dyDescent="0.25">
      <c r="A126" s="175"/>
      <c r="B126" s="175"/>
      <c r="C126" s="175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</row>
    <row r="127" spans="1:35" ht="15.75" x14ac:dyDescent="0.25">
      <c r="A127" s="175"/>
      <c r="B127" s="175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  <c r="S127" s="175"/>
      <c r="T127" s="175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E127" s="175"/>
      <c r="AF127" s="175"/>
      <c r="AG127" s="175"/>
      <c r="AH127" s="175"/>
      <c r="AI127" s="175"/>
    </row>
    <row r="128" spans="1:35" ht="15.75" x14ac:dyDescent="0.25">
      <c r="A128" s="175"/>
      <c r="B128" s="175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5"/>
      <c r="AE128" s="175"/>
      <c r="AF128" s="175"/>
      <c r="AG128" s="175"/>
      <c r="AH128" s="175"/>
      <c r="AI128" s="175"/>
    </row>
    <row r="129" spans="1:35" ht="15.75" x14ac:dyDescent="0.25">
      <c r="A129" s="175"/>
      <c r="B129" s="175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5"/>
      <c r="Q129" s="175"/>
      <c r="R129" s="175"/>
      <c r="S129" s="175"/>
      <c r="T129" s="175"/>
      <c r="U129" s="175"/>
      <c r="V129" s="175"/>
      <c r="W129" s="175"/>
      <c r="X129" s="175"/>
      <c r="Y129" s="175"/>
      <c r="Z129" s="175"/>
      <c r="AA129" s="175"/>
      <c r="AB129" s="175"/>
      <c r="AC129" s="175"/>
      <c r="AD129" s="175"/>
      <c r="AE129" s="175"/>
      <c r="AF129" s="175"/>
      <c r="AG129" s="175"/>
      <c r="AH129" s="175"/>
      <c r="AI129" s="175"/>
    </row>
    <row r="130" spans="1:35" ht="15.75" x14ac:dyDescent="0.25">
      <c r="A130" s="175"/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5"/>
      <c r="Q130" s="175"/>
      <c r="R130" s="175"/>
      <c r="S130" s="175"/>
      <c r="T130" s="175"/>
      <c r="U130" s="175"/>
      <c r="V130" s="175"/>
      <c r="W130" s="175"/>
      <c r="X130" s="175"/>
      <c r="Y130" s="175"/>
      <c r="Z130" s="175"/>
      <c r="AA130" s="175"/>
      <c r="AB130" s="175"/>
      <c r="AC130" s="175"/>
      <c r="AD130" s="175"/>
      <c r="AE130" s="175"/>
      <c r="AF130" s="175"/>
      <c r="AG130" s="175"/>
      <c r="AH130" s="175"/>
      <c r="AI130" s="175"/>
    </row>
    <row r="131" spans="1:35" ht="15.75" x14ac:dyDescent="0.25">
      <c r="A131" s="175"/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</row>
    <row r="132" spans="1:35" ht="15.75" x14ac:dyDescent="0.25">
      <c r="A132" s="175"/>
      <c r="B132" s="175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  <c r="AI132" s="175"/>
    </row>
    <row r="133" spans="1:35" ht="15.75" x14ac:dyDescent="0.25">
      <c r="A133" s="175"/>
      <c r="B133" s="175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75"/>
      <c r="AH133" s="175"/>
      <c r="AI133" s="175"/>
    </row>
    <row r="134" spans="1:35" ht="15.75" x14ac:dyDescent="0.25">
      <c r="A134" s="175"/>
      <c r="B134" s="175"/>
      <c r="C134" s="175"/>
      <c r="D134" s="175"/>
      <c r="E134" s="175"/>
      <c r="F134" s="175"/>
      <c r="G134" s="175"/>
      <c r="H134" s="175"/>
      <c r="I134" s="175"/>
      <c r="J134" s="175"/>
      <c r="K134" s="175"/>
      <c r="L134" s="175"/>
      <c r="M134" s="175"/>
      <c r="N134" s="175"/>
      <c r="O134" s="175"/>
      <c r="P134" s="175"/>
      <c r="Q134" s="175"/>
      <c r="R134" s="175"/>
      <c r="S134" s="175"/>
      <c r="T134" s="175"/>
      <c r="U134" s="175"/>
      <c r="V134" s="175"/>
      <c r="W134" s="175"/>
      <c r="X134" s="175"/>
      <c r="Y134" s="175"/>
      <c r="Z134" s="175"/>
      <c r="AA134" s="175"/>
      <c r="AB134" s="175"/>
      <c r="AC134" s="175"/>
      <c r="AD134" s="175"/>
      <c r="AE134" s="175"/>
      <c r="AF134" s="175"/>
      <c r="AG134" s="175"/>
      <c r="AH134" s="175"/>
      <c r="AI134" s="175"/>
    </row>
    <row r="135" spans="1:35" ht="15.75" x14ac:dyDescent="0.25">
      <c r="A135" s="175"/>
      <c r="B135" s="175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  <c r="M135" s="175"/>
      <c r="N135" s="175"/>
      <c r="O135" s="175"/>
      <c r="P135" s="175"/>
      <c r="Q135" s="175"/>
      <c r="R135" s="175"/>
      <c r="S135" s="175"/>
      <c r="T135" s="175"/>
      <c r="U135" s="175"/>
      <c r="V135" s="175"/>
      <c r="W135" s="175"/>
      <c r="X135" s="175"/>
      <c r="Y135" s="175"/>
      <c r="Z135" s="175"/>
      <c r="AA135" s="175"/>
      <c r="AB135" s="175"/>
      <c r="AC135" s="175"/>
      <c r="AD135" s="175"/>
      <c r="AE135" s="175"/>
      <c r="AF135" s="175"/>
      <c r="AG135" s="175"/>
      <c r="AH135" s="175"/>
      <c r="AI135" s="175"/>
    </row>
    <row r="136" spans="1:35" ht="15.75" x14ac:dyDescent="0.25">
      <c r="A136" s="175"/>
      <c r="B136" s="175"/>
      <c r="C136" s="175"/>
      <c r="D136" s="175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</row>
    <row r="137" spans="1:35" ht="15.75" x14ac:dyDescent="0.25">
      <c r="A137" s="175"/>
      <c r="B137" s="175"/>
      <c r="C137" s="175"/>
      <c r="D137" s="175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75"/>
      <c r="S137" s="175"/>
      <c r="T137" s="175"/>
      <c r="U137" s="175"/>
      <c r="V137" s="175"/>
      <c r="W137" s="175"/>
      <c r="X137" s="175"/>
      <c r="Y137" s="175"/>
      <c r="Z137" s="175"/>
      <c r="AA137" s="175"/>
      <c r="AB137" s="175"/>
      <c r="AC137" s="175"/>
      <c r="AD137" s="175"/>
      <c r="AE137" s="175"/>
      <c r="AF137" s="175"/>
      <c r="AG137" s="175"/>
      <c r="AH137" s="175"/>
      <c r="AI137" s="175"/>
    </row>
  </sheetData>
  <mergeCells count="61">
    <mergeCell ref="H18:H19"/>
    <mergeCell ref="I18:I19"/>
    <mergeCell ref="H21:H22"/>
    <mergeCell ref="C12:D12"/>
    <mergeCell ref="C13:D13"/>
    <mergeCell ref="C14:D14"/>
    <mergeCell ref="C15:D15"/>
    <mergeCell ref="C16:D16"/>
    <mergeCell ref="C11:D11"/>
    <mergeCell ref="C3:I3"/>
    <mergeCell ref="C7:D7"/>
    <mergeCell ref="C8:D8"/>
    <mergeCell ref="C9:D9"/>
    <mergeCell ref="C10:D10"/>
    <mergeCell ref="C24:G24"/>
    <mergeCell ref="D33:E33"/>
    <mergeCell ref="D34:E34"/>
    <mergeCell ref="C18:C19"/>
    <mergeCell ref="D35:E35"/>
    <mergeCell ref="D59:E59"/>
    <mergeCell ref="D60:E60"/>
    <mergeCell ref="D61:E61"/>
    <mergeCell ref="D36:E36"/>
    <mergeCell ref="D37:E37"/>
    <mergeCell ref="D38:E38"/>
    <mergeCell ref="D39:E39"/>
    <mergeCell ref="D52:E52"/>
    <mergeCell ref="D41:E41"/>
    <mergeCell ref="C42:D42"/>
    <mergeCell ref="D43:G43"/>
    <mergeCell ref="D49:E49"/>
    <mergeCell ref="D50:E50"/>
    <mergeCell ref="D51:E51"/>
    <mergeCell ref="D40:E40"/>
    <mergeCell ref="D53:E53"/>
    <mergeCell ref="D54:E54"/>
    <mergeCell ref="D55:E55"/>
    <mergeCell ref="D56:G56"/>
    <mergeCell ref="D58:E58"/>
    <mergeCell ref="I43:I44"/>
    <mergeCell ref="D45:E45"/>
    <mergeCell ref="D46:E46"/>
    <mergeCell ref="D47:E47"/>
    <mergeCell ref="D48:E48"/>
    <mergeCell ref="D62:E62"/>
    <mergeCell ref="D63:E63"/>
    <mergeCell ref="D64:E64"/>
    <mergeCell ref="D68:E68"/>
    <mergeCell ref="D69:E69"/>
    <mergeCell ref="D66:E66"/>
    <mergeCell ref="D67:E67"/>
    <mergeCell ref="D65:E65"/>
    <mergeCell ref="H69:I69"/>
    <mergeCell ref="AA95:AD95"/>
    <mergeCell ref="D71:E71"/>
    <mergeCell ref="D72:E72"/>
    <mergeCell ref="D73:E73"/>
    <mergeCell ref="D74:E74"/>
    <mergeCell ref="E95:H95"/>
    <mergeCell ref="D70:E70"/>
    <mergeCell ref="Q95:T95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D4B08-CE56-4C4E-B092-A8DA803A6BC5}">
  <dimension ref="B3:L20"/>
  <sheetViews>
    <sheetView workbookViewId="0">
      <selection activeCell="H7" sqref="H7"/>
    </sheetView>
  </sheetViews>
  <sheetFormatPr baseColWidth="10" defaultRowHeight="15" x14ac:dyDescent="0.25"/>
  <cols>
    <col min="2" max="2" width="14.7109375" customWidth="1"/>
    <col min="3" max="3" width="15.5703125" bestFit="1" customWidth="1"/>
    <col min="4" max="4" width="15.85546875" customWidth="1"/>
    <col min="5" max="6" width="16.28515625" customWidth="1"/>
    <col min="7" max="7" width="16.7109375" bestFit="1" customWidth="1"/>
    <col min="10" max="10" width="13" bestFit="1" customWidth="1"/>
    <col min="12" max="12" width="17.140625" customWidth="1"/>
  </cols>
  <sheetData>
    <row r="3" spans="2:12" x14ac:dyDescent="0.25">
      <c r="B3" s="142" t="s">
        <v>15</v>
      </c>
      <c r="C3" s="142" t="s">
        <v>18</v>
      </c>
      <c r="D3" s="142" t="s">
        <v>19</v>
      </c>
      <c r="E3" s="142" t="s">
        <v>20</v>
      </c>
      <c r="F3" s="142" t="s">
        <v>21</v>
      </c>
      <c r="G3" s="142" t="s">
        <v>120</v>
      </c>
      <c r="I3" s="142" t="s">
        <v>53</v>
      </c>
      <c r="J3" s="142" t="s">
        <v>236</v>
      </c>
      <c r="K3" s="142" t="s">
        <v>233</v>
      </c>
      <c r="L3" s="142" t="s">
        <v>234</v>
      </c>
    </row>
    <row r="4" spans="2:12" x14ac:dyDescent="0.25">
      <c r="B4" s="142" t="s">
        <v>56</v>
      </c>
      <c r="C4" s="152">
        <f>+P.PRODUCCION!C148</f>
        <v>38195675</v>
      </c>
      <c r="D4" s="152">
        <f>+P.PRODUCCION!D148</f>
        <v>30411020</v>
      </c>
      <c r="E4" s="152">
        <f>+P.PRODUCCION!E148</f>
        <v>29432615</v>
      </c>
      <c r="F4" s="152">
        <f>+P.PRODUCCION!F148</f>
        <v>30916585</v>
      </c>
      <c r="G4" s="360">
        <f>SUM(C4:F4)</f>
        <v>128955895</v>
      </c>
      <c r="I4" s="108">
        <f>+P.PRODUCCION!C79</f>
        <v>5783</v>
      </c>
      <c r="J4" s="360">
        <f>+G7/I4</f>
        <v>38822.628006833249</v>
      </c>
      <c r="K4" s="82">
        <v>0.45</v>
      </c>
      <c r="L4" s="363">
        <f>+J4/(1-K4)</f>
        <v>70586.59637606045</v>
      </c>
    </row>
    <row r="5" spans="2:12" x14ac:dyDescent="0.25">
      <c r="B5" s="142" t="s">
        <v>232</v>
      </c>
      <c r="C5" s="360">
        <f>+'NOMINA CAMISAS'!C50</f>
        <v>15553161</v>
      </c>
      <c r="D5" s="360">
        <f>+'NOMINA CAMISAS'!D50</f>
        <v>17582442</v>
      </c>
      <c r="E5" s="360">
        <f>+'NOMINA CAMISAS'!E50</f>
        <v>15553161</v>
      </c>
      <c r="F5" s="360">
        <f>+'NOMINA CAMISAS'!F50</f>
        <v>24003031.440000001</v>
      </c>
      <c r="G5" s="360">
        <f t="shared" ref="G5:G6" si="0">SUM(C5:F5)</f>
        <v>72691795.439999998</v>
      </c>
      <c r="L5" s="364"/>
    </row>
    <row r="6" spans="2:12" x14ac:dyDescent="0.25">
      <c r="B6" s="142" t="s">
        <v>199</v>
      </c>
      <c r="C6" s="360">
        <f>+CIF!E119</f>
        <v>6408757.1557012862</v>
      </c>
      <c r="D6" s="360">
        <f>+CIF!F119</f>
        <v>5562690.5108400425</v>
      </c>
      <c r="E6" s="360">
        <f>+CIF!G119</f>
        <v>5341289.8934931746</v>
      </c>
      <c r="F6" s="360">
        <f>+CIF!H119</f>
        <v>5550829.7634821748</v>
      </c>
      <c r="G6" s="360">
        <f t="shared" si="0"/>
        <v>22863567.323516678</v>
      </c>
      <c r="L6" s="364"/>
    </row>
    <row r="7" spans="2:12" x14ac:dyDescent="0.25">
      <c r="F7" s="361" t="s">
        <v>235</v>
      </c>
      <c r="G7" s="362">
        <f>SUM(G4:G6)</f>
        <v>224511257.76351666</v>
      </c>
      <c r="L7" s="364"/>
    </row>
    <row r="8" spans="2:12" x14ac:dyDescent="0.25">
      <c r="L8" s="364"/>
    </row>
    <row r="9" spans="2:12" x14ac:dyDescent="0.25">
      <c r="L9" s="364"/>
    </row>
    <row r="10" spans="2:12" x14ac:dyDescent="0.25">
      <c r="B10" s="142" t="s">
        <v>281</v>
      </c>
      <c r="C10" s="142" t="s">
        <v>18</v>
      </c>
      <c r="D10" s="142" t="s">
        <v>19</v>
      </c>
      <c r="E10" s="142" t="s">
        <v>20</v>
      </c>
      <c r="F10" s="142" t="s">
        <v>21</v>
      </c>
      <c r="G10" s="142" t="s">
        <v>120</v>
      </c>
      <c r="I10" s="142" t="s">
        <v>53</v>
      </c>
      <c r="J10" s="142" t="s">
        <v>236</v>
      </c>
      <c r="K10" s="142" t="s">
        <v>233</v>
      </c>
      <c r="L10" s="365" t="s">
        <v>234</v>
      </c>
    </row>
    <row r="11" spans="2:12" x14ac:dyDescent="0.25">
      <c r="B11" s="142" t="s">
        <v>56</v>
      </c>
      <c r="C11" s="152">
        <f>+P.PRODUCCION!Q148</f>
        <v>36298890</v>
      </c>
      <c r="D11" s="152">
        <f>+P.PRODUCCION!R148</f>
        <v>27066259.999999996</v>
      </c>
      <c r="E11" s="152">
        <f>+P.PRODUCCION!S148</f>
        <v>26694100</v>
      </c>
      <c r="F11" s="152">
        <f>+P.PRODUCCION!T148</f>
        <v>26946170</v>
      </c>
      <c r="G11" s="360">
        <f>SUM(C11:F11)</f>
        <v>117005420</v>
      </c>
      <c r="I11" s="108">
        <f>+P.PRODUCCION!Q79</f>
        <v>3721</v>
      </c>
      <c r="J11" s="360">
        <f>+G14/I11</f>
        <v>45633.624299572781</v>
      </c>
      <c r="K11" s="82">
        <v>0.55000000000000004</v>
      </c>
      <c r="L11" s="363">
        <f>+J11/(1-K11)</f>
        <v>101408.05399905064</v>
      </c>
    </row>
    <row r="12" spans="2:12" x14ac:dyDescent="0.25">
      <c r="B12" s="142" t="s">
        <v>232</v>
      </c>
      <c r="C12" s="360">
        <f>+'NOMINA PANTALONES'!C50</f>
        <v>8262417.6000000006</v>
      </c>
      <c r="D12" s="360">
        <f>+'NOMINA PANTALONES'!D50</f>
        <v>9345271.6000000015</v>
      </c>
      <c r="E12" s="360">
        <f>+'NOMINA PANTALONES'!E50</f>
        <v>8262417.6000000006</v>
      </c>
      <c r="F12" s="360">
        <f>+'NOMINA PANTALONES'!F50</f>
        <v>12750864.560000002</v>
      </c>
      <c r="G12" s="360">
        <f t="shared" ref="G12:G13" si="1">SUM(C12:F12)</f>
        <v>38620971.360000007</v>
      </c>
      <c r="L12" s="364"/>
    </row>
    <row r="13" spans="2:12" x14ac:dyDescent="0.25">
      <c r="B13" s="142" t="s">
        <v>199</v>
      </c>
      <c r="C13" s="360">
        <f>+CIF!Q119</f>
        <v>4171748.3206900805</v>
      </c>
      <c r="D13" s="360">
        <f>+CIF!R119</f>
        <v>3364067.367277937</v>
      </c>
      <c r="E13" s="360">
        <f>+CIF!S119</f>
        <v>3310729.9458261915</v>
      </c>
      <c r="F13" s="360">
        <f>+CIF!T119</f>
        <v>3329779.0249161003</v>
      </c>
      <c r="G13" s="360">
        <f t="shared" si="1"/>
        <v>14176324.658710308</v>
      </c>
      <c r="L13" s="364"/>
    </row>
    <row r="14" spans="2:12" x14ac:dyDescent="0.25">
      <c r="B14" s="150"/>
      <c r="C14" s="150"/>
      <c r="D14" s="150"/>
      <c r="E14" s="150"/>
      <c r="F14" s="361" t="s">
        <v>235</v>
      </c>
      <c r="G14" s="362">
        <f>SUM(G11:G13)</f>
        <v>169802716.01871032</v>
      </c>
      <c r="L14" s="364"/>
    </row>
    <row r="15" spans="2:12" x14ac:dyDescent="0.25">
      <c r="L15" s="364"/>
    </row>
    <row r="16" spans="2:12" x14ac:dyDescent="0.25">
      <c r="B16" s="142" t="s">
        <v>286</v>
      </c>
      <c r="C16" s="142" t="s">
        <v>18</v>
      </c>
      <c r="D16" s="142" t="s">
        <v>19</v>
      </c>
      <c r="E16" s="142" t="s">
        <v>20</v>
      </c>
      <c r="F16" s="142" t="s">
        <v>21</v>
      </c>
      <c r="G16" s="142" t="s">
        <v>120</v>
      </c>
      <c r="I16" s="142" t="s">
        <v>53</v>
      </c>
      <c r="J16" s="142" t="s">
        <v>236</v>
      </c>
      <c r="K16" s="142" t="s">
        <v>233</v>
      </c>
      <c r="L16" s="365" t="s">
        <v>234</v>
      </c>
    </row>
    <row r="17" spans="2:12" x14ac:dyDescent="0.25">
      <c r="B17" s="142" t="s">
        <v>56</v>
      </c>
      <c r="C17" s="152">
        <f>+P.PRODUCCION!AE148</f>
        <v>46210232.5</v>
      </c>
      <c r="D17" s="152">
        <f>+P.PRODUCCION!AF148</f>
        <v>36118028.75</v>
      </c>
      <c r="E17" s="152">
        <f>+P.PRODUCCION!AG148</f>
        <v>35136915</v>
      </c>
      <c r="F17" s="152">
        <f>+P.PRODUCCION!AH148</f>
        <v>35546618.75</v>
      </c>
      <c r="G17" s="360">
        <f>SUM(C17:F17)</f>
        <v>153011795</v>
      </c>
      <c r="I17" s="108">
        <f>+P.PRODUCCION!AE79</f>
        <v>3981</v>
      </c>
      <c r="J17" s="360">
        <f>+G20/I17</f>
        <v>67870.600583152191</v>
      </c>
      <c r="K17" s="82">
        <v>0.5</v>
      </c>
      <c r="L17" s="363">
        <f>+J17/(1-K17)</f>
        <v>135741.20116630438</v>
      </c>
    </row>
    <row r="18" spans="2:12" x14ac:dyDescent="0.25">
      <c r="B18" s="142" t="s">
        <v>232</v>
      </c>
      <c r="C18" s="360">
        <f>+'NOMINA CHAQUETAS'!C50</f>
        <v>18397152</v>
      </c>
      <c r="D18" s="360">
        <f>+'NOMINA CHAQUETAS'!D50</f>
        <v>20802860</v>
      </c>
      <c r="E18" s="360">
        <f>+'NOMINA CHAQUETAS'!E50</f>
        <v>18397152</v>
      </c>
      <c r="F18" s="360">
        <f>+'NOMINA CHAQUETAS'!F50</f>
        <v>28391645.920000002</v>
      </c>
      <c r="G18" s="360">
        <f t="shared" ref="G18:G19" si="2">SUM(C18:F18)</f>
        <v>85988809.920000002</v>
      </c>
    </row>
    <row r="19" spans="2:12" x14ac:dyDescent="0.25">
      <c r="B19" s="142" t="s">
        <v>199</v>
      </c>
      <c r="C19" s="360">
        <f>+CIF!AA119</f>
        <v>8877374.0391188562</v>
      </c>
      <c r="D19" s="360">
        <f>+CIF!AB119</f>
        <v>7553211.4507595571</v>
      </c>
      <c r="E19" s="360">
        <f>+CIF!AC119</f>
        <v>7310317.7215338871</v>
      </c>
      <c r="F19" s="360">
        <f>+CIF!AD119</f>
        <v>7451352.7901165336</v>
      </c>
      <c r="G19" s="360">
        <f t="shared" si="2"/>
        <v>31192256.001528833</v>
      </c>
    </row>
    <row r="20" spans="2:12" x14ac:dyDescent="0.25">
      <c r="B20" s="150"/>
      <c r="C20" s="150"/>
      <c r="D20" s="150"/>
      <c r="E20" s="150"/>
      <c r="F20" s="361" t="s">
        <v>235</v>
      </c>
      <c r="G20" s="362">
        <f>SUM(G17:G19)</f>
        <v>270192860.92152888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DC5A4-804D-4B94-8A29-A4F69D90535B}">
  <dimension ref="A1:G35"/>
  <sheetViews>
    <sheetView tabSelected="1" topLeftCell="A4" zoomScale="70" zoomScaleNormal="70" workbookViewId="0">
      <selection activeCell="F35" sqref="F35"/>
    </sheetView>
  </sheetViews>
  <sheetFormatPr baseColWidth="10" defaultRowHeight="15" x14ac:dyDescent="0.25"/>
  <cols>
    <col min="1" max="1" width="26.140625" customWidth="1"/>
    <col min="2" max="2" width="17.7109375" customWidth="1"/>
    <col min="3" max="3" width="17.28515625" customWidth="1"/>
    <col min="4" max="4" width="33.28515625" customWidth="1"/>
    <col min="5" max="5" width="18.5703125" customWidth="1"/>
    <col min="6" max="6" width="33.7109375" customWidth="1"/>
  </cols>
  <sheetData>
    <row r="1" spans="1:7" x14ac:dyDescent="0.25">
      <c r="A1" s="130"/>
      <c r="B1" s="140" t="s">
        <v>215</v>
      </c>
      <c r="C1" s="130"/>
      <c r="D1" s="130"/>
      <c r="E1" s="130">
        <v>0</v>
      </c>
      <c r="F1" s="130"/>
      <c r="G1" s="130"/>
    </row>
    <row r="2" spans="1:7" x14ac:dyDescent="0.25">
      <c r="A2" s="135" t="s">
        <v>196</v>
      </c>
      <c r="B2" s="131" t="s">
        <v>18</v>
      </c>
      <c r="C2" s="131" t="s">
        <v>19</v>
      </c>
      <c r="D2" s="131" t="s">
        <v>20</v>
      </c>
      <c r="E2" s="131" t="s">
        <v>21</v>
      </c>
      <c r="F2" s="116"/>
      <c r="G2" s="116"/>
    </row>
    <row r="3" spans="1:7" x14ac:dyDescent="0.25">
      <c r="A3" s="131" t="s">
        <v>18</v>
      </c>
      <c r="B3" s="133">
        <f>+P.PRODUCCION!C64+P.PRODUCCION!Q64+P.PRODUCCION!AE64</f>
        <v>198617341.10335383</v>
      </c>
      <c r="C3" s="143">
        <f>+P.PRODUCCION!D64+P.PRODUCCION!R64+P.PRODUCCION!AF64</f>
        <v>132411560.73556924</v>
      </c>
      <c r="D3" s="143">
        <f>+P.PRODUCCION!E64+P.PRODUCCION!S64+P.PRODUCCION!AG64</f>
        <v>0</v>
      </c>
      <c r="E3" s="143">
        <f>+P.PRODUCCION!F64+P.PRODUCCION!T64+P.PRODUCCION!AH64</f>
        <v>0</v>
      </c>
      <c r="F3" s="369"/>
      <c r="G3" s="369"/>
    </row>
    <row r="4" spans="1:7" x14ac:dyDescent="0.25">
      <c r="A4" s="131" t="s">
        <v>19</v>
      </c>
      <c r="B4" s="143">
        <f>+P.PRODUCCION!C65+P.PRODUCCION!Q65+P.PRODUCCION!AE65</f>
        <v>0</v>
      </c>
      <c r="C4" s="143">
        <f>+P.PRODUCCION!D65+P.PRODUCCION!R65+P.PRODUCCION!AF65</f>
        <v>192846636.1976791</v>
      </c>
      <c r="D4" s="143">
        <f>+P.PRODUCCION!E65+P.PRODUCCION!S65+P.PRODUCCION!AG65</f>
        <v>128564424.13178609</v>
      </c>
      <c r="E4" s="143">
        <f>+P.PRODUCCION!F65+P.PRODUCCION!T65+P.PRODUCCION!AH65</f>
        <v>0</v>
      </c>
      <c r="F4" s="369"/>
      <c r="G4" s="369"/>
    </row>
    <row r="5" spans="1:7" x14ac:dyDescent="0.25">
      <c r="A5" s="131" t="s">
        <v>21</v>
      </c>
      <c r="B5" s="143">
        <f>+P.PRODUCCION!C66+P.PRODUCCION!Q66+P.PRODUCCION!AE66</f>
        <v>0</v>
      </c>
      <c r="C5" s="143">
        <f>+P.PRODUCCION!D66+P.PRODUCCION!R66+P.PRODUCCION!AF66</f>
        <v>0</v>
      </c>
      <c r="D5" s="143">
        <f>+P.PRODUCCION!E66+P.PRODUCCION!S66+P.PRODUCCION!AG66</f>
        <v>186306572.25918728</v>
      </c>
      <c r="E5" s="143">
        <f>+P.PRODUCCION!F66+P.PRODUCCION!T66+P.PRODUCCION!AH66</f>
        <v>124204381.50612485</v>
      </c>
      <c r="F5" s="369"/>
      <c r="G5" s="369"/>
    </row>
    <row r="6" spans="1:7" ht="15.75" thickBot="1" x14ac:dyDescent="0.3">
      <c r="A6" s="131" t="s">
        <v>21</v>
      </c>
      <c r="B6" s="148">
        <f>+P.PRODUCCION!C67+P.PRODUCCION!Q67+P.PRODUCCION!AE67</f>
        <v>0</v>
      </c>
      <c r="C6" s="148">
        <f>+P.PRODUCCION!D67+P.PRODUCCION!R67+P.PRODUCCION!AF67</f>
        <v>0</v>
      </c>
      <c r="D6" s="148">
        <f>+P.PRODUCCION!E67+P.PRODUCCION!S67+P.PRODUCCION!AG67</f>
        <v>0</v>
      </c>
      <c r="E6" s="148">
        <f>+P.PRODUCCION!F67+P.PRODUCCION!T67+P.PRODUCCION!AH67</f>
        <v>189121321.49230075</v>
      </c>
      <c r="F6" s="369"/>
      <c r="G6" s="369"/>
    </row>
    <row r="7" spans="1:7" x14ac:dyDescent="0.25">
      <c r="A7" s="130"/>
      <c r="B7" s="134">
        <f>SUM(B3:B6)</f>
        <v>198617341.10335383</v>
      </c>
      <c r="C7" s="134">
        <f>SUM(C3:C6)</f>
        <v>325258196.93324834</v>
      </c>
      <c r="D7" s="134">
        <f>SUM(D3:D6)</f>
        <v>314870996.39097339</v>
      </c>
      <c r="E7" s="134">
        <f>SUM(E3:E6)</f>
        <v>313325702.9984256</v>
      </c>
      <c r="F7" s="370"/>
      <c r="G7" s="370"/>
    </row>
    <row r="11" spans="1:7" x14ac:dyDescent="0.25">
      <c r="A11" s="136"/>
      <c r="B11" s="140" t="s">
        <v>40</v>
      </c>
      <c r="C11" s="136"/>
      <c r="D11" s="136"/>
      <c r="E11" s="136"/>
    </row>
    <row r="12" spans="1:7" x14ac:dyDescent="0.25">
      <c r="A12" s="140" t="s">
        <v>60</v>
      </c>
      <c r="B12" s="137" t="s">
        <v>18</v>
      </c>
      <c r="C12" s="137" t="s">
        <v>19</v>
      </c>
      <c r="D12" s="137" t="s">
        <v>20</v>
      </c>
      <c r="E12" s="137" t="s">
        <v>21</v>
      </c>
    </row>
    <row r="13" spans="1:7" x14ac:dyDescent="0.25">
      <c r="A13" s="137" t="s">
        <v>18</v>
      </c>
      <c r="B13" s="138">
        <f>+P.PRODUCCION!C154+P.PRODUCCION!Q154+P.PRODUCCION!AE154</f>
        <v>77016926.75</v>
      </c>
      <c r="C13" s="143">
        <f>+P.PRODUCCION!D154+P.PRODUCCION!R154+P.PRODUCCION!AF154</f>
        <v>43687870.75</v>
      </c>
      <c r="D13" s="143">
        <f>+P.PRODUCCION!E154+P.PRODUCCION!S154+P.PRODUCCION!AG154</f>
        <v>0</v>
      </c>
      <c r="E13" s="143">
        <f>+P.PRODUCCION!F154+P.PRODUCCION!T154+P.PRODUCCION!AH154</f>
        <v>0</v>
      </c>
    </row>
    <row r="14" spans="1:7" x14ac:dyDescent="0.25">
      <c r="A14" s="137" t="s">
        <v>19</v>
      </c>
      <c r="B14" s="143">
        <f>+P.PRODUCCION!C155+P.PRODUCCION!Q155+P.PRODUCCION!AE155</f>
        <v>0</v>
      </c>
      <c r="C14" s="143">
        <f>+P.PRODUCCION!D155+P.PRODUCCION!R155+P.PRODUCCION!AF155</f>
        <v>59629614.125</v>
      </c>
      <c r="D14" s="143">
        <f>+P.PRODUCCION!E155+P.PRODUCCION!S155+P.PRODUCCION!AG155</f>
        <v>33965694.625</v>
      </c>
      <c r="E14" s="143">
        <f>+P.PRODUCCION!F155+P.PRODUCCION!T155+P.PRODUCCION!AH155</f>
        <v>0</v>
      </c>
    </row>
    <row r="15" spans="1:7" x14ac:dyDescent="0.25">
      <c r="A15" s="137" t="s">
        <v>21</v>
      </c>
      <c r="B15" s="143">
        <f>+P.PRODUCCION!C156+P.PRODUCCION!Q156+P.PRODUCCION!AE156</f>
        <v>0</v>
      </c>
      <c r="C15" s="143">
        <f>+P.PRODUCCION!D156+P.PRODUCCION!R156+P.PRODUCCION!AF156</f>
        <v>0</v>
      </c>
      <c r="D15" s="143">
        <f>+P.PRODUCCION!E156+P.PRODUCCION!S156+P.PRODUCCION!AG156</f>
        <v>58169030.5</v>
      </c>
      <c r="E15" s="143">
        <f>+P.PRODUCCION!F156+P.PRODUCCION!T156+P.PRODUCCION!AH156</f>
        <v>33094599.500000004</v>
      </c>
    </row>
    <row r="16" spans="1:7" x14ac:dyDescent="0.25">
      <c r="A16" s="137" t="s">
        <v>21</v>
      </c>
      <c r="B16" s="143">
        <f>+P.PRODUCCION!C157+P.PRODUCCION!Q157+P.PRODUCCION!AE157</f>
        <v>0</v>
      </c>
      <c r="C16" s="143">
        <f>+P.PRODUCCION!D157+P.PRODUCCION!R157+P.PRODUCCION!AF157</f>
        <v>0</v>
      </c>
      <c r="D16" s="143">
        <f>+P.PRODUCCION!E157+P.PRODUCCION!S157+P.PRODUCCION!AG157</f>
        <v>0</v>
      </c>
      <c r="E16" s="143">
        <f>+P.PRODUCCION!F157+P.PRODUCCION!T157+P.PRODUCCION!AH157</f>
        <v>59454995.125</v>
      </c>
    </row>
    <row r="17" spans="1:6" x14ac:dyDescent="0.25">
      <c r="A17" s="136"/>
      <c r="B17" s="139">
        <f>SUM(B13:B16)</f>
        <v>77016926.75</v>
      </c>
      <c r="C17" s="139">
        <f t="shared" ref="C17:E17" si="0">SUM(C13:C16)</f>
        <v>103317484.875</v>
      </c>
      <c r="D17" s="139">
        <f t="shared" si="0"/>
        <v>92134725.125</v>
      </c>
      <c r="E17" s="139">
        <f t="shared" si="0"/>
        <v>92549594.625</v>
      </c>
    </row>
    <row r="19" spans="1:6" x14ac:dyDescent="0.25">
      <c r="A19" s="120" t="s">
        <v>197</v>
      </c>
    </row>
    <row r="20" spans="1:6" x14ac:dyDescent="0.25">
      <c r="A20" s="145" t="s">
        <v>121</v>
      </c>
      <c r="B20" s="147" t="s">
        <v>18</v>
      </c>
      <c r="C20" s="147" t="s">
        <v>19</v>
      </c>
      <c r="D20" s="141" t="s">
        <v>20</v>
      </c>
      <c r="E20" s="141" t="s">
        <v>21</v>
      </c>
      <c r="F20" s="146" t="s">
        <v>120</v>
      </c>
    </row>
    <row r="21" spans="1:6" x14ac:dyDescent="0.25">
      <c r="A21" s="141" t="s">
        <v>201</v>
      </c>
      <c r="B21" s="143">
        <f>+'NOMINA CAMISAS'!C50</f>
        <v>15553161</v>
      </c>
      <c r="C21" s="143">
        <f>+'NOMINA CAMISAS'!D50</f>
        <v>17582442</v>
      </c>
      <c r="D21" s="143">
        <f>+'NOMINA CAMISAS'!E50</f>
        <v>15553161</v>
      </c>
      <c r="E21" s="143">
        <f>+'NOMINA CAMISAS'!F50</f>
        <v>24003031.440000001</v>
      </c>
      <c r="F21" s="144">
        <f>SUM(B21:E21)</f>
        <v>72691795.439999998</v>
      </c>
    </row>
    <row r="22" spans="1:6" x14ac:dyDescent="0.25">
      <c r="A22" s="141" t="s">
        <v>202</v>
      </c>
      <c r="B22" s="143">
        <f>+'NOMINA PANTALONES'!C50</f>
        <v>8262417.6000000006</v>
      </c>
      <c r="C22" s="143">
        <f>+'NOMINA PANTALONES'!D50</f>
        <v>9345271.6000000015</v>
      </c>
      <c r="D22" s="143">
        <f>+'NOMINA PANTALONES'!E50</f>
        <v>8262417.6000000006</v>
      </c>
      <c r="E22" s="143">
        <f>+'NOMINA PANTALONES'!F50</f>
        <v>12750864.560000002</v>
      </c>
      <c r="F22" s="144">
        <f t="shared" ref="F22:F23" si="1">SUM(B22:E22)</f>
        <v>38620971.360000007</v>
      </c>
    </row>
    <row r="23" spans="1:6" ht="15.75" thickBot="1" x14ac:dyDescent="0.3">
      <c r="A23" s="141" t="s">
        <v>203</v>
      </c>
      <c r="B23" s="148">
        <f>+'NOMINA CHAQUETAS'!C50</f>
        <v>18397152</v>
      </c>
      <c r="C23" s="148">
        <f>+'NOMINA CHAQUETAS'!D50</f>
        <v>20802860</v>
      </c>
      <c r="D23" s="148">
        <f>+'NOMINA CHAQUETAS'!E50</f>
        <v>18397152</v>
      </c>
      <c r="E23" s="148">
        <f>+'NOMINA CHAQUETAS'!F50</f>
        <v>28391645.920000002</v>
      </c>
      <c r="F23" s="144">
        <f t="shared" si="1"/>
        <v>85988809.920000002</v>
      </c>
    </row>
    <row r="24" spans="1:6" x14ac:dyDescent="0.25">
      <c r="A24" s="142" t="s">
        <v>120</v>
      </c>
      <c r="B24" s="143">
        <f>SUM(B21:B23)</f>
        <v>42212730.600000001</v>
      </c>
      <c r="C24" s="143">
        <f t="shared" ref="C24:E24" si="2">SUM(C21:C23)</f>
        <v>47730573.600000001</v>
      </c>
      <c r="D24" s="143">
        <f t="shared" si="2"/>
        <v>42212730.600000001</v>
      </c>
      <c r="E24" s="143">
        <f t="shared" si="2"/>
        <v>65145541.920000002</v>
      </c>
      <c r="F24" s="149">
        <f>SUM(F21:F23)</f>
        <v>197301576.72000003</v>
      </c>
    </row>
    <row r="27" spans="1:6" x14ac:dyDescent="0.25">
      <c r="A27" s="140" t="s">
        <v>200</v>
      </c>
      <c r="B27" s="150"/>
      <c r="C27" s="150"/>
      <c r="D27" s="150"/>
      <c r="E27" s="150"/>
      <c r="F27" s="150"/>
    </row>
    <row r="30" spans="1:6" x14ac:dyDescent="0.25">
      <c r="A30" s="150"/>
      <c r="B30" s="154" t="s">
        <v>18</v>
      </c>
      <c r="C30" s="154" t="s">
        <v>19</v>
      </c>
      <c r="D30" s="154" t="s">
        <v>20</v>
      </c>
      <c r="E30" s="154" t="s">
        <v>21</v>
      </c>
      <c r="F30" s="154" t="s">
        <v>122</v>
      </c>
    </row>
    <row r="31" spans="1:6" x14ac:dyDescent="0.25">
      <c r="A31" s="154" t="s">
        <v>54</v>
      </c>
      <c r="B31" s="152">
        <f>+B7</f>
        <v>198617341.10335383</v>
      </c>
      <c r="C31" s="152">
        <f t="shared" ref="C31:D31" si="3">+C7</f>
        <v>325258196.93324834</v>
      </c>
      <c r="D31" s="152">
        <f t="shared" si="3"/>
        <v>314870996.39097339</v>
      </c>
      <c r="E31" s="152">
        <f>+E7</f>
        <v>313325702.9984256</v>
      </c>
      <c r="F31" s="152">
        <f>SUM(B31:E31)</f>
        <v>1152072237.4260011</v>
      </c>
    </row>
    <row r="32" spans="1:6" x14ac:dyDescent="0.25">
      <c r="A32" s="154" t="s">
        <v>199</v>
      </c>
      <c r="B32" s="152">
        <f>+CIF!E119+CIF!Q119+CIF!AA119</f>
        <v>19457879.515510224</v>
      </c>
      <c r="C32" s="152">
        <f>+CIF!F119+CIF!R119+CIF!AB119</f>
        <v>16479969.328877535</v>
      </c>
      <c r="D32" s="152">
        <f>+CIF!G119+CIF!S119+CIF!AC119</f>
        <v>15962337.560853254</v>
      </c>
      <c r="E32" s="152">
        <f>+CIF!H119+CIF!T119+CIF!AD119</f>
        <v>16331961.578514809</v>
      </c>
      <c r="F32" s="152">
        <f t="shared" ref="F32:F34" si="4">SUM(B32:E32)</f>
        <v>68232147.983755827</v>
      </c>
    </row>
    <row r="33" spans="1:6" x14ac:dyDescent="0.25">
      <c r="A33" s="154" t="s">
        <v>55</v>
      </c>
      <c r="B33" s="152">
        <f>+B24</f>
        <v>42212730.600000001</v>
      </c>
      <c r="C33" s="152">
        <f t="shared" ref="C33:E33" si="5">+C24</f>
        <v>47730573.600000001</v>
      </c>
      <c r="D33" s="152">
        <f t="shared" si="5"/>
        <v>42212730.600000001</v>
      </c>
      <c r="E33" s="152">
        <f t="shared" si="5"/>
        <v>65145541.920000002</v>
      </c>
      <c r="F33" s="152">
        <f t="shared" si="4"/>
        <v>197301576.72000003</v>
      </c>
    </row>
    <row r="34" spans="1:6" ht="15.75" thickBot="1" x14ac:dyDescent="0.3">
      <c r="A34" s="154" t="s">
        <v>56</v>
      </c>
      <c r="B34" s="153">
        <f>+B17</f>
        <v>77016926.75</v>
      </c>
      <c r="C34" s="153">
        <f t="shared" ref="C34:E34" si="6">+C17</f>
        <v>103317484.875</v>
      </c>
      <c r="D34" s="153">
        <f t="shared" si="6"/>
        <v>92134725.125</v>
      </c>
      <c r="E34" s="153">
        <f t="shared" si="6"/>
        <v>92549594.625</v>
      </c>
      <c r="F34" s="152">
        <f t="shared" si="4"/>
        <v>365018731.375</v>
      </c>
    </row>
    <row r="35" spans="1:6" x14ac:dyDescent="0.25">
      <c r="A35" s="154" t="s">
        <v>198</v>
      </c>
      <c r="B35" s="152">
        <f>+B31-B33-B34-B32</f>
        <v>59929804.23784361</v>
      </c>
      <c r="C35" s="152">
        <f t="shared" ref="C35:E35" si="7">+C31-C33-C34-C32</f>
        <v>157730169.12937078</v>
      </c>
      <c r="D35" s="152">
        <f t="shared" si="7"/>
        <v>164561203.10512012</v>
      </c>
      <c r="E35" s="152">
        <f t="shared" si="7"/>
        <v>139298604.87491077</v>
      </c>
      <c r="F35" s="155">
        <f>+F31-F33-F34</f>
        <v>589751929.33100104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DATOS HISTORICOS</vt:lpstr>
      <vt:lpstr>P.PRODUCCION</vt:lpstr>
      <vt:lpstr>TIEMPOS REQUERIDOS</vt:lpstr>
      <vt:lpstr>NOMINA CAMISAS</vt:lpstr>
      <vt:lpstr>NOMINA PANTALONES</vt:lpstr>
      <vt:lpstr>NOMINA CHAQUETAS</vt:lpstr>
      <vt:lpstr>CIF</vt:lpstr>
      <vt:lpstr>CUP</vt:lpstr>
      <vt:lpstr>CONSOLIDG.PRESUPUESTO EFECTIVO</vt:lpstr>
      <vt:lpstr>CONSOLIDADO X PROD.</vt:lpstr>
      <vt:lpstr>FLUJOCAJA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noriega</dc:creator>
  <cp:lastModifiedBy>omar noriega</cp:lastModifiedBy>
  <dcterms:created xsi:type="dcterms:W3CDTF">2020-10-01T21:00:11Z</dcterms:created>
  <dcterms:modified xsi:type="dcterms:W3CDTF">2021-02-22T03:26:08Z</dcterms:modified>
</cp:coreProperties>
</file>