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r\Desktop\PARA TRABAJOS 2020-3\ECONOMIA 1\TRABAJO FINAL\"/>
    </mc:Choice>
  </mc:AlternateContent>
  <xr:revisionPtr revIDLastSave="0" documentId="13_ncr:1_{17E2CE34-FC51-4A1D-9D8D-3880C7624EBD}" xr6:coauthVersionLast="46" xr6:coauthVersionMax="46" xr10:uidLastSave="{00000000-0000-0000-0000-000000000000}"/>
  <bookViews>
    <workbookView xWindow="-120" yWindow="-120" windowWidth="20730" windowHeight="11160" firstSheet="6" activeTab="9" xr2:uid="{335F76CE-4B26-488E-AFED-84373EE4D9AA}"/>
  </bookViews>
  <sheets>
    <sheet name="TAPABOCAS" sheetId="1" r:id="rId1"/>
    <sheet name="LITROS GEL ANTB" sheetId="26" r:id="rId2"/>
    <sheet name="LITROS DESINF." sheetId="27" r:id="rId3"/>
    <sheet name="CONSOLIDADO DE COMPRAS Y VENTAS" sheetId="2" r:id="rId4"/>
    <sheet name="CONSOLIDADO IMPUESTOS" sheetId="15" r:id="rId5"/>
    <sheet name="Nomina-Operarios" sheetId="11" r:id="rId6"/>
    <sheet name="Nomina-Administradores" sheetId="24" r:id="rId7"/>
    <sheet name="GASTOS DE OPERACION" sheetId="5" r:id="rId8"/>
    <sheet name="RESULTADOS" sheetId="23" r:id="rId9"/>
    <sheet name="BALANCE GENERAL" sheetId="25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5" l="1"/>
  <c r="C18" i="25"/>
  <c r="C49" i="23"/>
  <c r="C47" i="23"/>
  <c r="C12" i="23"/>
  <c r="C10" i="23"/>
  <c r="C8" i="23"/>
  <c r="O7" i="25"/>
  <c r="F43" i="24"/>
  <c r="G43" i="24"/>
  <c r="H43" i="24"/>
  <c r="I43" i="24"/>
  <c r="J43" i="24"/>
  <c r="K43" i="24"/>
  <c r="L43" i="24"/>
  <c r="M43" i="24"/>
  <c r="N43" i="24"/>
  <c r="O43" i="24"/>
  <c r="P43" i="24"/>
  <c r="E43" i="24"/>
  <c r="F43" i="11"/>
  <c r="G43" i="11"/>
  <c r="H43" i="11"/>
  <c r="I43" i="11"/>
  <c r="J43" i="11"/>
  <c r="K43" i="11"/>
  <c r="L43" i="11"/>
  <c r="M43" i="11"/>
  <c r="N43" i="11"/>
  <c r="O43" i="11"/>
  <c r="P43" i="11"/>
  <c r="E43" i="11"/>
  <c r="C6" i="5"/>
  <c r="B26" i="2" l="1"/>
  <c r="B27" i="2"/>
  <c r="B28" i="2"/>
  <c r="B29" i="2"/>
  <c r="B30" i="2"/>
  <c r="B31" i="2"/>
  <c r="B32" i="2"/>
  <c r="B33" i="2"/>
  <c r="B34" i="2"/>
  <c r="B35" i="2"/>
  <c r="B36" i="2"/>
  <c r="B25" i="2"/>
  <c r="C5" i="23" s="1"/>
  <c r="C5" i="5" l="1"/>
  <c r="C4" i="5"/>
  <c r="H6" i="15"/>
  <c r="D6" i="15"/>
  <c r="D7" i="15"/>
  <c r="D9" i="15"/>
  <c r="D11" i="15"/>
  <c r="D13" i="15"/>
  <c r="D15" i="15"/>
  <c r="D17" i="15"/>
  <c r="G8" i="2"/>
  <c r="AA18" i="27"/>
  <c r="R18" i="27"/>
  <c r="S18" i="27" s="1"/>
  <c r="N18" i="27"/>
  <c r="AA17" i="27"/>
  <c r="R17" i="27"/>
  <c r="S17" i="27" s="1"/>
  <c r="N17" i="27"/>
  <c r="AA16" i="27"/>
  <c r="R16" i="27"/>
  <c r="S16" i="27" s="1"/>
  <c r="N16" i="27"/>
  <c r="AA15" i="27"/>
  <c r="R15" i="27"/>
  <c r="S15" i="27" s="1"/>
  <c r="N15" i="27"/>
  <c r="AA14" i="27"/>
  <c r="R14" i="27"/>
  <c r="S14" i="27" s="1"/>
  <c r="N14" i="27"/>
  <c r="AA13" i="27"/>
  <c r="R13" i="27"/>
  <c r="S13" i="27" s="1"/>
  <c r="N13" i="27"/>
  <c r="AA12" i="27"/>
  <c r="R12" i="27"/>
  <c r="S12" i="27" s="1"/>
  <c r="N12" i="27"/>
  <c r="AA11" i="27"/>
  <c r="R11" i="27"/>
  <c r="S11" i="27" s="1"/>
  <c r="N11" i="27"/>
  <c r="AA10" i="27"/>
  <c r="R10" i="27"/>
  <c r="S10" i="27" s="1"/>
  <c r="N10" i="27"/>
  <c r="AA9" i="27"/>
  <c r="R9" i="27"/>
  <c r="S9" i="27" s="1"/>
  <c r="N9" i="27"/>
  <c r="AA8" i="27"/>
  <c r="R8" i="27"/>
  <c r="S8" i="27" s="1"/>
  <c r="N8" i="27"/>
  <c r="AA7" i="27"/>
  <c r="R7" i="27"/>
  <c r="S7" i="27" s="1"/>
  <c r="N7" i="27"/>
  <c r="AI5" i="27"/>
  <c r="D5" i="27"/>
  <c r="P4" i="27" s="1"/>
  <c r="AC5" i="27" s="1"/>
  <c r="B5" i="27"/>
  <c r="F16" i="27" s="1"/>
  <c r="G16" i="27" s="1"/>
  <c r="AA11" i="26"/>
  <c r="AA18" i="26"/>
  <c r="R18" i="26"/>
  <c r="S18" i="26" s="1"/>
  <c r="N18" i="26"/>
  <c r="AA17" i="26"/>
  <c r="R17" i="26"/>
  <c r="S17" i="26" s="1"/>
  <c r="N17" i="26"/>
  <c r="AA16" i="26"/>
  <c r="R16" i="26"/>
  <c r="S16" i="26" s="1"/>
  <c r="N16" i="26"/>
  <c r="AA15" i="26"/>
  <c r="R15" i="26"/>
  <c r="S15" i="26" s="1"/>
  <c r="N15" i="26"/>
  <c r="AA14" i="26"/>
  <c r="R14" i="26"/>
  <c r="S14" i="26" s="1"/>
  <c r="N14" i="26"/>
  <c r="AA13" i="26"/>
  <c r="R13" i="26"/>
  <c r="S13" i="26" s="1"/>
  <c r="N13" i="26"/>
  <c r="AA12" i="26"/>
  <c r="R12" i="26"/>
  <c r="S12" i="26" s="1"/>
  <c r="N12" i="26"/>
  <c r="R11" i="26"/>
  <c r="S11" i="26" s="1"/>
  <c r="N11" i="26"/>
  <c r="AA10" i="26"/>
  <c r="R10" i="26"/>
  <c r="S10" i="26" s="1"/>
  <c r="N10" i="26"/>
  <c r="AA9" i="26"/>
  <c r="R9" i="26"/>
  <c r="S9" i="26" s="1"/>
  <c r="N9" i="26"/>
  <c r="AA8" i="26"/>
  <c r="R8" i="26"/>
  <c r="S8" i="26" s="1"/>
  <c r="N8" i="26"/>
  <c r="AA7" i="26"/>
  <c r="R7" i="26"/>
  <c r="S7" i="26" s="1"/>
  <c r="N7" i="26"/>
  <c r="AI5" i="26"/>
  <c r="P4" i="26"/>
  <c r="AC5" i="26" s="1"/>
  <c r="B5" i="26"/>
  <c r="AI5" i="1"/>
  <c r="B5" i="1"/>
  <c r="C11" i="5" l="1"/>
  <c r="B20" i="5" s="1"/>
  <c r="F16" i="26"/>
  <c r="G16" i="26" s="1"/>
  <c r="H16" i="26" s="1"/>
  <c r="AD16" i="26" s="1"/>
  <c r="F15" i="26"/>
  <c r="G15" i="26" s="1"/>
  <c r="H15" i="26" s="1"/>
  <c r="AD15" i="26" s="1"/>
  <c r="N21" i="27"/>
  <c r="T12" i="27"/>
  <c r="AE12" i="27" s="1"/>
  <c r="U12" i="27"/>
  <c r="AJ12" i="27" s="1"/>
  <c r="AK13" i="27" s="1"/>
  <c r="U10" i="27"/>
  <c r="AJ10" i="27" s="1"/>
  <c r="AK11" i="27" s="1"/>
  <c r="T10" i="27"/>
  <c r="AE10" i="27" s="1"/>
  <c r="U16" i="27"/>
  <c r="AJ16" i="27" s="1"/>
  <c r="AK17" i="27" s="1"/>
  <c r="T16" i="27"/>
  <c r="AE16" i="27" s="1"/>
  <c r="H16" i="27"/>
  <c r="AD16" i="27" s="1"/>
  <c r="U8" i="27"/>
  <c r="AJ8" i="27" s="1"/>
  <c r="AK9" i="27" s="1"/>
  <c r="T8" i="27"/>
  <c r="AE8" i="27" s="1"/>
  <c r="U13" i="27"/>
  <c r="AJ13" i="27" s="1"/>
  <c r="AK14" i="27" s="1"/>
  <c r="T13" i="27"/>
  <c r="AE13" i="27" s="1"/>
  <c r="U18" i="27"/>
  <c r="AJ18" i="27" s="1"/>
  <c r="AK19" i="27" s="1"/>
  <c r="T18" i="27"/>
  <c r="AE18" i="27" s="1"/>
  <c r="T17" i="27"/>
  <c r="AE17" i="27" s="1"/>
  <c r="U17" i="27"/>
  <c r="AJ17" i="27" s="1"/>
  <c r="AK18" i="27" s="1"/>
  <c r="T9" i="27"/>
  <c r="AE9" i="27" s="1"/>
  <c r="U9" i="27"/>
  <c r="AJ9" i="27" s="1"/>
  <c r="AK10" i="27" s="1"/>
  <c r="U15" i="27"/>
  <c r="AJ15" i="27" s="1"/>
  <c r="AK16" i="27" s="1"/>
  <c r="T15" i="27"/>
  <c r="AE15" i="27" s="1"/>
  <c r="T7" i="27"/>
  <c r="V7" i="27" s="1"/>
  <c r="F10" i="27"/>
  <c r="G10" i="27" s="1"/>
  <c r="T11" i="27"/>
  <c r="AE11" i="27" s="1"/>
  <c r="T14" i="27"/>
  <c r="AE14" i="27" s="1"/>
  <c r="F15" i="27"/>
  <c r="G15" i="27" s="1"/>
  <c r="F18" i="27"/>
  <c r="G18" i="27" s="1"/>
  <c r="S21" i="27"/>
  <c r="U7" i="27"/>
  <c r="F9" i="27"/>
  <c r="G9" i="27" s="1"/>
  <c r="U11" i="27"/>
  <c r="AJ11" i="27" s="1"/>
  <c r="AK12" i="27" s="1"/>
  <c r="F12" i="27"/>
  <c r="G12" i="27" s="1"/>
  <c r="U14" i="27"/>
  <c r="AJ14" i="27" s="1"/>
  <c r="AK15" i="27" s="1"/>
  <c r="F17" i="27"/>
  <c r="G17" i="27" s="1"/>
  <c r="S22" i="27"/>
  <c r="F11" i="27"/>
  <c r="G11" i="27" s="1"/>
  <c r="F14" i="27"/>
  <c r="G14" i="27" s="1"/>
  <c r="F7" i="27"/>
  <c r="G7" i="27" s="1"/>
  <c r="F8" i="27"/>
  <c r="G8" i="27" s="1"/>
  <c r="F13" i="27"/>
  <c r="G13" i="27" s="1"/>
  <c r="N21" i="26"/>
  <c r="T7" i="26"/>
  <c r="U7" i="26"/>
  <c r="AJ7" i="26" s="1"/>
  <c r="AK8" i="26" s="1"/>
  <c r="U11" i="26"/>
  <c r="AJ11" i="26" s="1"/>
  <c r="AK12" i="26" s="1"/>
  <c r="T11" i="26"/>
  <c r="AE11" i="26" s="1"/>
  <c r="F10" i="26"/>
  <c r="G10" i="26" s="1"/>
  <c r="H10" i="26" s="1"/>
  <c r="AD10" i="26" s="1"/>
  <c r="T14" i="26"/>
  <c r="AE14" i="26" s="1"/>
  <c r="U14" i="26"/>
  <c r="AJ14" i="26" s="1"/>
  <c r="AK15" i="26" s="1"/>
  <c r="F18" i="26"/>
  <c r="G18" i="26" s="1"/>
  <c r="T9" i="26"/>
  <c r="AE9" i="26" s="1"/>
  <c r="U9" i="26"/>
  <c r="AJ9" i="26" s="1"/>
  <c r="AK10" i="26" s="1"/>
  <c r="U10" i="26"/>
  <c r="AJ10" i="26" s="1"/>
  <c r="AK11" i="26" s="1"/>
  <c r="T10" i="26"/>
  <c r="AE10" i="26" s="1"/>
  <c r="T12" i="26"/>
  <c r="AE12" i="26" s="1"/>
  <c r="U12" i="26"/>
  <c r="AJ12" i="26" s="1"/>
  <c r="AK13" i="26" s="1"/>
  <c r="T17" i="26"/>
  <c r="AE17" i="26" s="1"/>
  <c r="U17" i="26"/>
  <c r="AJ17" i="26" s="1"/>
  <c r="AK18" i="26" s="1"/>
  <c r="U18" i="26"/>
  <c r="AJ18" i="26" s="1"/>
  <c r="AK19" i="26" s="1"/>
  <c r="T18" i="26"/>
  <c r="AE18" i="26" s="1"/>
  <c r="U15" i="26"/>
  <c r="AJ15" i="26" s="1"/>
  <c r="AK16" i="26" s="1"/>
  <c r="T15" i="26"/>
  <c r="AE15" i="26" s="1"/>
  <c r="T8" i="26"/>
  <c r="AE8" i="26" s="1"/>
  <c r="F9" i="26"/>
  <c r="G9" i="26" s="1"/>
  <c r="F12" i="26"/>
  <c r="G12" i="26" s="1"/>
  <c r="T13" i="26"/>
  <c r="AE13" i="26" s="1"/>
  <c r="T16" i="26"/>
  <c r="AE16" i="26" s="1"/>
  <c r="F17" i="26"/>
  <c r="G17" i="26" s="1"/>
  <c r="S22" i="26"/>
  <c r="S21" i="26"/>
  <c r="U8" i="26"/>
  <c r="AJ8" i="26" s="1"/>
  <c r="AK9" i="26" s="1"/>
  <c r="F11" i="26"/>
  <c r="G11" i="26" s="1"/>
  <c r="U13" i="26"/>
  <c r="AJ13" i="26" s="1"/>
  <c r="AK14" i="26" s="1"/>
  <c r="F14" i="26"/>
  <c r="G14" i="26" s="1"/>
  <c r="U16" i="26"/>
  <c r="AJ16" i="26" s="1"/>
  <c r="AK17" i="26" s="1"/>
  <c r="F7" i="26"/>
  <c r="G7" i="26" s="1"/>
  <c r="F8" i="26"/>
  <c r="G8" i="26" s="1"/>
  <c r="F13" i="26"/>
  <c r="G13" i="26" s="1"/>
  <c r="AA12" i="1"/>
  <c r="AA8" i="1"/>
  <c r="AA9" i="1"/>
  <c r="AA10" i="1"/>
  <c r="AA11" i="1"/>
  <c r="AA13" i="1"/>
  <c r="AA14" i="1"/>
  <c r="AA15" i="1"/>
  <c r="AA16" i="1"/>
  <c r="AA17" i="1"/>
  <c r="AA18" i="1"/>
  <c r="AA7" i="1"/>
  <c r="D25" i="2" s="1"/>
  <c r="C13" i="25"/>
  <c r="C3" i="25"/>
  <c r="C14" i="25" s="1"/>
  <c r="C24" i="23"/>
  <c r="D24" i="23" s="1"/>
  <c r="E24" i="23" s="1"/>
  <c r="F24" i="23" s="1"/>
  <c r="G24" i="23" s="1"/>
  <c r="H24" i="23" s="1"/>
  <c r="I24" i="23" s="1"/>
  <c r="J24" i="23" s="1"/>
  <c r="K24" i="23" s="1"/>
  <c r="L24" i="23" s="1"/>
  <c r="M24" i="23" s="1"/>
  <c r="N24" i="23" s="1"/>
  <c r="P14" i="24"/>
  <c r="O14" i="24"/>
  <c r="N14" i="24"/>
  <c r="M14" i="24"/>
  <c r="L14" i="24"/>
  <c r="K14" i="24"/>
  <c r="J14" i="24"/>
  <c r="I14" i="24"/>
  <c r="H14" i="24"/>
  <c r="G14" i="24"/>
  <c r="F14" i="24"/>
  <c r="E14" i="24"/>
  <c r="F4" i="24"/>
  <c r="M8" i="24" s="1"/>
  <c r="F3" i="24"/>
  <c r="J7" i="24" s="1"/>
  <c r="D5" i="23"/>
  <c r="E5" i="23"/>
  <c r="F5" i="23"/>
  <c r="G5" i="23"/>
  <c r="H5" i="23"/>
  <c r="I5" i="23"/>
  <c r="J5" i="23"/>
  <c r="K5" i="23"/>
  <c r="L5" i="23"/>
  <c r="M5" i="23"/>
  <c r="N5" i="23"/>
  <c r="C20" i="23"/>
  <c r="C35" i="23"/>
  <c r="C41" i="23"/>
  <c r="C42" i="23"/>
  <c r="D42" i="23"/>
  <c r="F42" i="23"/>
  <c r="H42" i="23"/>
  <c r="J42" i="23"/>
  <c r="L42" i="23"/>
  <c r="N42" i="23"/>
  <c r="V7" i="26" l="1"/>
  <c r="F20" i="5"/>
  <c r="V18" i="27"/>
  <c r="W18" i="27" s="1"/>
  <c r="X18" i="27" s="1"/>
  <c r="Y18" i="27" s="1"/>
  <c r="D26" i="2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20" i="23"/>
  <c r="E20" i="23" s="1"/>
  <c r="F20" i="23" s="1"/>
  <c r="G20" i="23" s="1"/>
  <c r="H20" i="23" s="1"/>
  <c r="I20" i="23" s="1"/>
  <c r="J20" i="23" s="1"/>
  <c r="K20" i="23" s="1"/>
  <c r="L20" i="23" s="1"/>
  <c r="M20" i="23" s="1"/>
  <c r="N20" i="23" s="1"/>
  <c r="C17" i="25"/>
  <c r="D14" i="25"/>
  <c r="E14" i="25" s="1"/>
  <c r="F14" i="25" s="1"/>
  <c r="G14" i="25" s="1"/>
  <c r="H14" i="25" s="1"/>
  <c r="I14" i="25" s="1"/>
  <c r="J14" i="25" s="1"/>
  <c r="K14" i="25" s="1"/>
  <c r="L14" i="25" s="1"/>
  <c r="M14" i="25" s="1"/>
  <c r="N14" i="25" s="1"/>
  <c r="O14" i="25" s="1"/>
  <c r="C7" i="25"/>
  <c r="C9" i="25" s="1"/>
  <c r="K20" i="5"/>
  <c r="G20" i="5"/>
  <c r="C20" i="5"/>
  <c r="J20" i="5"/>
  <c r="M20" i="5"/>
  <c r="I20" i="5"/>
  <c r="E20" i="5"/>
  <c r="L20" i="5"/>
  <c r="H20" i="5"/>
  <c r="D20" i="5"/>
  <c r="V10" i="27"/>
  <c r="W10" i="27" s="1"/>
  <c r="X10" i="27" s="1"/>
  <c r="Y10" i="27" s="1"/>
  <c r="V12" i="27"/>
  <c r="W12" i="27" s="1"/>
  <c r="X12" i="27" s="1"/>
  <c r="Y12" i="27" s="1"/>
  <c r="H8" i="27"/>
  <c r="AD8" i="27" s="1"/>
  <c r="AF8" i="27" s="1"/>
  <c r="G22" i="27"/>
  <c r="G21" i="27"/>
  <c r="H7" i="27"/>
  <c r="I7" i="27" s="1"/>
  <c r="H9" i="27"/>
  <c r="AD9" i="27" s="1"/>
  <c r="AF9" i="27" s="1"/>
  <c r="V17" i="27"/>
  <c r="V8" i="27"/>
  <c r="H14" i="27"/>
  <c r="AD14" i="27" s="1"/>
  <c r="AF14" i="27" s="1"/>
  <c r="U22" i="27"/>
  <c r="U21" i="27"/>
  <c r="AJ7" i="27"/>
  <c r="AK8" i="27" s="1"/>
  <c r="V15" i="27"/>
  <c r="V9" i="27"/>
  <c r="V13" i="27"/>
  <c r="AF16" i="27"/>
  <c r="V16" i="27"/>
  <c r="H10" i="27"/>
  <c r="AD10" i="27" s="1"/>
  <c r="AF10" i="27" s="1"/>
  <c r="H17" i="27"/>
  <c r="AD17" i="27" s="1"/>
  <c r="AF17" i="27" s="1"/>
  <c r="H15" i="27"/>
  <c r="AD15" i="27" s="1"/>
  <c r="AF15" i="27" s="1"/>
  <c r="T22" i="27"/>
  <c r="T21" i="27"/>
  <c r="AE7" i="27"/>
  <c r="H13" i="27"/>
  <c r="AD13" i="27" s="1"/>
  <c r="AF13" i="27" s="1"/>
  <c r="H11" i="27"/>
  <c r="AD11" i="27" s="1"/>
  <c r="AF11" i="27" s="1"/>
  <c r="H12" i="27"/>
  <c r="AD12" i="27" s="1"/>
  <c r="AF12" i="27" s="1"/>
  <c r="V14" i="27"/>
  <c r="I16" i="27"/>
  <c r="V11" i="27"/>
  <c r="H18" i="27"/>
  <c r="AD18" i="27" s="1"/>
  <c r="AF18" i="27" s="1"/>
  <c r="AF10" i="26"/>
  <c r="U21" i="26"/>
  <c r="AF15" i="26"/>
  <c r="V14" i="26"/>
  <c r="W14" i="26" s="1"/>
  <c r="X14" i="26" s="1"/>
  <c r="Y14" i="26" s="1"/>
  <c r="W7" i="26"/>
  <c r="X7" i="26" s="1"/>
  <c r="Y7" i="26" s="1"/>
  <c r="I10" i="26"/>
  <c r="AE7" i="26"/>
  <c r="H18" i="26"/>
  <c r="AD18" i="26" s="1"/>
  <c r="AF18" i="26" s="1"/>
  <c r="V18" i="26"/>
  <c r="W18" i="26" s="1"/>
  <c r="X18" i="26" s="1"/>
  <c r="Y18" i="26" s="1"/>
  <c r="V10" i="26"/>
  <c r="W10" i="26" s="1"/>
  <c r="X10" i="26" s="1"/>
  <c r="Y10" i="26" s="1"/>
  <c r="V11" i="26"/>
  <c r="H11" i="26"/>
  <c r="AD11" i="26" s="1"/>
  <c r="AF11" i="26" s="1"/>
  <c r="H13" i="26"/>
  <c r="AD13" i="26" s="1"/>
  <c r="AF13" i="26" s="1"/>
  <c r="H12" i="26"/>
  <c r="AD12" i="26" s="1"/>
  <c r="AF12" i="26" s="1"/>
  <c r="V8" i="26"/>
  <c r="H8" i="26"/>
  <c r="AD8" i="26" s="1"/>
  <c r="AF8" i="26" s="1"/>
  <c r="H14" i="26"/>
  <c r="AD14" i="26" s="1"/>
  <c r="AF14" i="26" s="1"/>
  <c r="H17" i="26"/>
  <c r="AD17" i="26" s="1"/>
  <c r="AF17" i="26" s="1"/>
  <c r="H9" i="26"/>
  <c r="AD9" i="26" s="1"/>
  <c r="AF9" i="26" s="1"/>
  <c r="V15" i="26"/>
  <c r="I15" i="26"/>
  <c r="V12" i="26"/>
  <c r="U22" i="26"/>
  <c r="V9" i="26"/>
  <c r="AF16" i="26"/>
  <c r="J10" i="26"/>
  <c r="K10" i="26" s="1"/>
  <c r="L11" i="26" s="1"/>
  <c r="T21" i="26"/>
  <c r="V16" i="26"/>
  <c r="V17" i="26"/>
  <c r="V13" i="26"/>
  <c r="T22" i="26"/>
  <c r="G22" i="26"/>
  <c r="G21" i="26"/>
  <c r="H7" i="26"/>
  <c r="I16" i="26"/>
  <c r="D6" i="25"/>
  <c r="F8" i="24"/>
  <c r="J8" i="24"/>
  <c r="N8" i="24"/>
  <c r="M7" i="24"/>
  <c r="I7" i="24"/>
  <c r="E7" i="24"/>
  <c r="B3" i="24" s="1"/>
  <c r="P7" i="24"/>
  <c r="L7" i="24"/>
  <c r="H7" i="24"/>
  <c r="O7" i="24"/>
  <c r="K7" i="24"/>
  <c r="G7" i="24"/>
  <c r="N7" i="24"/>
  <c r="F7" i="24"/>
  <c r="G8" i="24"/>
  <c r="K8" i="24"/>
  <c r="O8" i="24"/>
  <c r="H8" i="24"/>
  <c r="L8" i="24"/>
  <c r="P8" i="24"/>
  <c r="E8" i="24"/>
  <c r="I8" i="24"/>
  <c r="I17" i="27" l="1"/>
  <c r="J17" i="27" s="1"/>
  <c r="K17" i="27" s="1"/>
  <c r="L18" i="27" s="1"/>
  <c r="AG17" i="26"/>
  <c r="AG11" i="26"/>
  <c r="I18" i="27"/>
  <c r="J18" i="27" s="1"/>
  <c r="K18" i="27" s="1"/>
  <c r="L19" i="27" s="1"/>
  <c r="AG19" i="27"/>
  <c r="AG15" i="27"/>
  <c r="I13" i="27"/>
  <c r="J13" i="27" s="1"/>
  <c r="I9" i="27"/>
  <c r="J9" i="27" s="1"/>
  <c r="K9" i="27" s="1"/>
  <c r="L10" i="27" s="1"/>
  <c r="W16" i="27"/>
  <c r="X16" i="27" s="1"/>
  <c r="Y16" i="27" s="1"/>
  <c r="AG13" i="27"/>
  <c r="AG17" i="27"/>
  <c r="I14" i="27"/>
  <c r="V21" i="27"/>
  <c r="W7" i="27"/>
  <c r="X7" i="27" s="1"/>
  <c r="V22" i="27"/>
  <c r="AG11" i="27"/>
  <c r="W13" i="27"/>
  <c r="X13" i="27" s="1"/>
  <c r="Y13" i="27" s="1"/>
  <c r="W8" i="27"/>
  <c r="X8" i="27" s="1"/>
  <c r="Y8" i="27" s="1"/>
  <c r="AD7" i="27"/>
  <c r="AF7" i="27" s="1"/>
  <c r="AG9" i="27" s="1"/>
  <c r="H21" i="27"/>
  <c r="H22" i="27"/>
  <c r="W15" i="27"/>
  <c r="X15" i="27" s="1"/>
  <c r="Y15" i="27" s="1"/>
  <c r="J7" i="27"/>
  <c r="K7" i="27" s="1"/>
  <c r="W14" i="27"/>
  <c r="X14" i="27" s="1"/>
  <c r="Y14" i="27" s="1"/>
  <c r="I15" i="27"/>
  <c r="I11" i="27"/>
  <c r="W11" i="27"/>
  <c r="X11" i="27" s="1"/>
  <c r="Y11" i="27" s="1"/>
  <c r="I12" i="27"/>
  <c r="I10" i="27"/>
  <c r="W9" i="27"/>
  <c r="X9" i="27" s="1"/>
  <c r="Y9" i="27" s="1"/>
  <c r="W17" i="27"/>
  <c r="X17" i="27" s="1"/>
  <c r="Y17" i="27" s="1"/>
  <c r="J16" i="27"/>
  <c r="K16" i="27" s="1"/>
  <c r="L17" i="27" s="1"/>
  <c r="I8" i="27"/>
  <c r="I17" i="26"/>
  <c r="J17" i="26" s="1"/>
  <c r="K17" i="26" s="1"/>
  <c r="L18" i="26" s="1"/>
  <c r="AG19" i="26"/>
  <c r="AG13" i="26"/>
  <c r="W11" i="26"/>
  <c r="X11" i="26" s="1"/>
  <c r="Y11" i="26" s="1"/>
  <c r="I18" i="26"/>
  <c r="I9" i="26"/>
  <c r="I12" i="26"/>
  <c r="J15" i="26"/>
  <c r="K15" i="26" s="1"/>
  <c r="L16" i="26" s="1"/>
  <c r="AD7" i="26"/>
  <c r="AF7" i="26" s="1"/>
  <c r="H21" i="26"/>
  <c r="H22" i="26"/>
  <c r="W9" i="26"/>
  <c r="X9" i="26" s="1"/>
  <c r="Y9" i="26" s="1"/>
  <c r="I8" i="26"/>
  <c r="I13" i="26"/>
  <c r="I11" i="26"/>
  <c r="W13" i="26"/>
  <c r="X13" i="26" s="1"/>
  <c r="Y13" i="26" s="1"/>
  <c r="W16" i="26"/>
  <c r="X16" i="26" s="1"/>
  <c r="Y16" i="26" s="1"/>
  <c r="J9" i="26"/>
  <c r="K9" i="26" s="1"/>
  <c r="L10" i="26" s="1"/>
  <c r="AG15" i="26"/>
  <c r="W8" i="26"/>
  <c r="V21" i="26"/>
  <c r="V22" i="26"/>
  <c r="J12" i="26"/>
  <c r="K12" i="26" s="1"/>
  <c r="L13" i="26" s="1"/>
  <c r="I7" i="26"/>
  <c r="W17" i="26"/>
  <c r="X17" i="26" s="1"/>
  <c r="Y17" i="26" s="1"/>
  <c r="W12" i="26"/>
  <c r="X12" i="26" s="1"/>
  <c r="Y12" i="26" s="1"/>
  <c r="I14" i="26"/>
  <c r="J16" i="26"/>
  <c r="K16" i="26" s="1"/>
  <c r="L17" i="26" s="1"/>
  <c r="AG9" i="26"/>
  <c r="W15" i="26"/>
  <c r="X15" i="26" s="1"/>
  <c r="Y15" i="26" s="1"/>
  <c r="E6" i="25"/>
  <c r="M12" i="24"/>
  <c r="I12" i="24"/>
  <c r="E12" i="24"/>
  <c r="P12" i="24"/>
  <c r="L12" i="24"/>
  <c r="H12" i="24"/>
  <c r="O12" i="24"/>
  <c r="K12" i="24"/>
  <c r="G12" i="24"/>
  <c r="B4" i="24"/>
  <c r="F12" i="24"/>
  <c r="N12" i="24"/>
  <c r="J12" i="24"/>
  <c r="I21" i="27" l="1"/>
  <c r="K13" i="27"/>
  <c r="L14" i="27" s="1"/>
  <c r="X22" i="27"/>
  <c r="X21" i="27"/>
  <c r="Y7" i="27"/>
  <c r="L8" i="27"/>
  <c r="J10" i="27"/>
  <c r="K10" i="27" s="1"/>
  <c r="L11" i="27" s="1"/>
  <c r="J14" i="27"/>
  <c r="K14" i="27" s="1"/>
  <c r="L15" i="27" s="1"/>
  <c r="W22" i="27"/>
  <c r="W21" i="27"/>
  <c r="J11" i="27"/>
  <c r="K11" i="27" s="1"/>
  <c r="L12" i="27" s="1"/>
  <c r="J8" i="27"/>
  <c r="K8" i="27" s="1"/>
  <c r="L9" i="27" s="1"/>
  <c r="J12" i="27"/>
  <c r="K12" i="27" s="1"/>
  <c r="L13" i="27" s="1"/>
  <c r="J15" i="27"/>
  <c r="K15" i="27" s="1"/>
  <c r="L16" i="27" s="1"/>
  <c r="I22" i="27"/>
  <c r="J18" i="26"/>
  <c r="K18" i="26" s="1"/>
  <c r="L19" i="26" s="1"/>
  <c r="W21" i="26"/>
  <c r="W22" i="26"/>
  <c r="J11" i="26"/>
  <c r="K11" i="26" s="1"/>
  <c r="L12" i="26" s="1"/>
  <c r="J14" i="26"/>
  <c r="K14" i="26" s="1"/>
  <c r="L15" i="26" s="1"/>
  <c r="J13" i="26"/>
  <c r="K13" i="26" s="1"/>
  <c r="L14" i="26" s="1"/>
  <c r="I21" i="26"/>
  <c r="J7" i="26"/>
  <c r="I22" i="26"/>
  <c r="J8" i="26"/>
  <c r="K8" i="26" s="1"/>
  <c r="L9" i="26" s="1"/>
  <c r="X8" i="26"/>
  <c r="F6" i="25"/>
  <c r="N40" i="24"/>
  <c r="N20" i="24"/>
  <c r="K40" i="24"/>
  <c r="K20" i="24"/>
  <c r="P40" i="24"/>
  <c r="P20" i="24"/>
  <c r="F40" i="24"/>
  <c r="F20" i="24"/>
  <c r="O40" i="24"/>
  <c r="O20" i="24"/>
  <c r="E40" i="24"/>
  <c r="E20" i="24"/>
  <c r="M13" i="24"/>
  <c r="I13" i="24"/>
  <c r="E13" i="24"/>
  <c r="P13" i="24"/>
  <c r="L13" i="24"/>
  <c r="H13" i="24"/>
  <c r="O13" i="24"/>
  <c r="K13" i="24"/>
  <c r="G13" i="24"/>
  <c r="N13" i="24"/>
  <c r="J13" i="24"/>
  <c r="F13" i="24"/>
  <c r="H40" i="24"/>
  <c r="H20" i="24"/>
  <c r="I40" i="24"/>
  <c r="I20" i="24"/>
  <c r="J40" i="24"/>
  <c r="J20" i="24"/>
  <c r="G40" i="24"/>
  <c r="G20" i="24"/>
  <c r="L40" i="24"/>
  <c r="L20" i="24"/>
  <c r="M40" i="24"/>
  <c r="M20" i="24"/>
  <c r="F4" i="11"/>
  <c r="F3" i="11"/>
  <c r="E7" i="11" s="1"/>
  <c r="B3" i="11" s="1"/>
  <c r="P4" i="1"/>
  <c r="AC5" i="1" s="1"/>
  <c r="J22" i="27" l="1"/>
  <c r="L21" i="27"/>
  <c r="L22" i="27"/>
  <c r="K22" i="27"/>
  <c r="K21" i="27"/>
  <c r="J21" i="27"/>
  <c r="Y22" i="27"/>
  <c r="Y21" i="27"/>
  <c r="J22" i="26"/>
  <c r="J21" i="26"/>
  <c r="K7" i="26"/>
  <c r="Y8" i="26"/>
  <c r="X22" i="26"/>
  <c r="X21" i="26"/>
  <c r="G6" i="25"/>
  <c r="M36" i="24"/>
  <c r="M35" i="24"/>
  <c r="M34" i="24"/>
  <c r="M31" i="24"/>
  <c r="M29" i="24"/>
  <c r="M28" i="24"/>
  <c r="M25" i="24"/>
  <c r="M24" i="24"/>
  <c r="M19" i="24"/>
  <c r="I36" i="24"/>
  <c r="I35" i="24"/>
  <c r="I34" i="24"/>
  <c r="I31" i="24"/>
  <c r="I29" i="24"/>
  <c r="I28" i="24"/>
  <c r="I25" i="24"/>
  <c r="I24" i="24"/>
  <c r="I19" i="24"/>
  <c r="E36" i="24"/>
  <c r="E35" i="24"/>
  <c r="E34" i="24"/>
  <c r="E31" i="24"/>
  <c r="E29" i="24"/>
  <c r="E28" i="24"/>
  <c r="E25" i="24"/>
  <c r="E24" i="24"/>
  <c r="E19" i="24"/>
  <c r="F34" i="24"/>
  <c r="F25" i="24"/>
  <c r="F35" i="24"/>
  <c r="F28" i="24"/>
  <c r="F19" i="24"/>
  <c r="F36" i="24"/>
  <c r="F29" i="24"/>
  <c r="F31" i="24"/>
  <c r="F24" i="24"/>
  <c r="K36" i="24"/>
  <c r="K35" i="24"/>
  <c r="K34" i="24"/>
  <c r="K31" i="24"/>
  <c r="K29" i="24"/>
  <c r="K28" i="24"/>
  <c r="K25" i="24"/>
  <c r="K24" i="24"/>
  <c r="K19" i="24"/>
  <c r="P48" i="24"/>
  <c r="G58" i="24" s="1"/>
  <c r="G36" i="24"/>
  <c r="G35" i="24"/>
  <c r="G34" i="24"/>
  <c r="G31" i="24"/>
  <c r="G29" i="24"/>
  <c r="G28" i="24"/>
  <c r="G25" i="24"/>
  <c r="G24" i="24"/>
  <c r="G19" i="24"/>
  <c r="L36" i="24"/>
  <c r="L35" i="24"/>
  <c r="L34" i="24"/>
  <c r="L31" i="24"/>
  <c r="L29" i="24"/>
  <c r="L28" i="24"/>
  <c r="L25" i="24"/>
  <c r="L24" i="24"/>
  <c r="L19" i="24"/>
  <c r="J35" i="24"/>
  <c r="J28" i="24"/>
  <c r="J19" i="24"/>
  <c r="J36" i="24"/>
  <c r="J29" i="24"/>
  <c r="J31" i="24"/>
  <c r="J24" i="24"/>
  <c r="J34" i="24"/>
  <c r="J25" i="24"/>
  <c r="H36" i="24"/>
  <c r="H35" i="24"/>
  <c r="H34" i="24"/>
  <c r="H31" i="24"/>
  <c r="H29" i="24"/>
  <c r="H28" i="24"/>
  <c r="H25" i="24"/>
  <c r="H24" i="24"/>
  <c r="H19" i="24"/>
  <c r="O36" i="24"/>
  <c r="O35" i="24"/>
  <c r="O34" i="24"/>
  <c r="O31" i="24"/>
  <c r="O29" i="24"/>
  <c r="O28" i="24"/>
  <c r="O25" i="24"/>
  <c r="O24" i="24"/>
  <c r="O19" i="24"/>
  <c r="P36" i="24"/>
  <c r="P35" i="24"/>
  <c r="P34" i="24"/>
  <c r="P31" i="24"/>
  <c r="P29" i="24"/>
  <c r="P28" i="24"/>
  <c r="P25" i="24"/>
  <c r="P24" i="24"/>
  <c r="P19" i="24"/>
  <c r="N36" i="24"/>
  <c r="N29" i="24"/>
  <c r="N31" i="24"/>
  <c r="N24" i="24"/>
  <c r="N34" i="24"/>
  <c r="N25" i="24"/>
  <c r="N35" i="24"/>
  <c r="N28" i="24"/>
  <c r="N19" i="24"/>
  <c r="K22" i="26" l="1"/>
  <c r="K21" i="26"/>
  <c r="L8" i="26"/>
  <c r="Y21" i="26"/>
  <c r="Y22" i="26"/>
  <c r="H6" i="25"/>
  <c r="H38" i="24"/>
  <c r="H39" i="24" s="1"/>
  <c r="H37" i="24"/>
  <c r="H18" i="24"/>
  <c r="I38" i="24"/>
  <c r="I39" i="24" s="1"/>
  <c r="I37" i="24"/>
  <c r="I18" i="24"/>
  <c r="P38" i="24"/>
  <c r="P39" i="24" s="1"/>
  <c r="P37" i="24"/>
  <c r="P18" i="24"/>
  <c r="L38" i="24"/>
  <c r="L39" i="24" s="1"/>
  <c r="L37" i="24"/>
  <c r="L18" i="24"/>
  <c r="F38" i="24"/>
  <c r="F39" i="24" s="1"/>
  <c r="F18" i="24"/>
  <c r="F37" i="24"/>
  <c r="O38" i="24"/>
  <c r="O39" i="24" s="1"/>
  <c r="O37" i="24"/>
  <c r="O18" i="24"/>
  <c r="J38" i="24"/>
  <c r="J39" i="24" s="1"/>
  <c r="J37" i="24"/>
  <c r="J18" i="24"/>
  <c r="G38" i="24"/>
  <c r="G39" i="24" s="1"/>
  <c r="G37" i="24"/>
  <c r="G18" i="24"/>
  <c r="E38" i="24"/>
  <c r="E37" i="24"/>
  <c r="E18" i="24"/>
  <c r="N38" i="24"/>
  <c r="N39" i="24" s="1"/>
  <c r="N37" i="24"/>
  <c r="N18" i="24"/>
  <c r="K38" i="24"/>
  <c r="K39" i="24" s="1"/>
  <c r="K37" i="24"/>
  <c r="K18" i="24"/>
  <c r="M38" i="24"/>
  <c r="M39" i="24" s="1"/>
  <c r="M37" i="24"/>
  <c r="M18" i="24"/>
  <c r="F52" i="24" l="1"/>
  <c r="L52" i="24"/>
  <c r="J52" i="24"/>
  <c r="L21" i="26"/>
  <c r="L22" i="26"/>
  <c r="I6" i="25"/>
  <c r="M41" i="24"/>
  <c r="M42" i="24" s="1"/>
  <c r="M44" i="24" s="1"/>
  <c r="M50" i="24" s="1"/>
  <c r="J17" i="5" s="1"/>
  <c r="M52" i="24"/>
  <c r="G41" i="24"/>
  <c r="G51" i="24" s="1"/>
  <c r="G52" i="24"/>
  <c r="F41" i="24"/>
  <c r="F51" i="24" s="1"/>
  <c r="P41" i="24"/>
  <c r="P51" i="24" s="1"/>
  <c r="P52" i="24"/>
  <c r="H41" i="24"/>
  <c r="H42" i="24" s="1"/>
  <c r="H44" i="24" s="1"/>
  <c r="H50" i="24" s="1"/>
  <c r="E17" i="5" s="1"/>
  <c r="H52" i="24"/>
  <c r="P45" i="24"/>
  <c r="G55" i="24" s="1"/>
  <c r="K52" i="24"/>
  <c r="N52" i="24"/>
  <c r="O52" i="24"/>
  <c r="I52" i="24"/>
  <c r="G42" i="24"/>
  <c r="G44" i="24" s="1"/>
  <c r="G50" i="24" s="1"/>
  <c r="D17" i="5" s="1"/>
  <c r="M51" i="24"/>
  <c r="J41" i="24"/>
  <c r="L41" i="24"/>
  <c r="N41" i="24"/>
  <c r="O41" i="24"/>
  <c r="I41" i="24"/>
  <c r="J45" i="24"/>
  <c r="E55" i="24" s="1"/>
  <c r="E39" i="24"/>
  <c r="E52" i="24" s="1"/>
  <c r="E53" i="24" s="1"/>
  <c r="P46" i="24"/>
  <c r="K41" i="24"/>
  <c r="F8" i="1"/>
  <c r="F11" i="1"/>
  <c r="F12" i="1"/>
  <c r="F15" i="1"/>
  <c r="F16" i="1"/>
  <c r="F7" i="1"/>
  <c r="F9" i="1"/>
  <c r="P42" i="24" l="1"/>
  <c r="P44" i="24" s="1"/>
  <c r="H51" i="24"/>
  <c r="F53" i="24"/>
  <c r="G53" i="24" s="1"/>
  <c r="H53" i="24" s="1"/>
  <c r="I53" i="24" s="1"/>
  <c r="J53" i="24" s="1"/>
  <c r="K53" i="24" s="1"/>
  <c r="L53" i="24" s="1"/>
  <c r="M53" i="24" s="1"/>
  <c r="N53" i="24" s="1"/>
  <c r="O53" i="24" s="1"/>
  <c r="F42" i="24"/>
  <c r="F44" i="24" s="1"/>
  <c r="F50" i="24" s="1"/>
  <c r="C17" i="5" s="1"/>
  <c r="G7" i="1"/>
  <c r="B8" i="2" s="1"/>
  <c r="C4" i="23" s="1"/>
  <c r="J6" i="25"/>
  <c r="N42" i="24"/>
  <c r="N44" i="24" s="1"/>
  <c r="N51" i="24"/>
  <c r="I42" i="24"/>
  <c r="I44" i="24" s="1"/>
  <c r="I50" i="24" s="1"/>
  <c r="F17" i="5" s="1"/>
  <c r="I51" i="24"/>
  <c r="K42" i="24"/>
  <c r="K44" i="24" s="1"/>
  <c r="K51" i="24"/>
  <c r="L42" i="24"/>
  <c r="L44" i="24" s="1"/>
  <c r="L50" i="24" s="1"/>
  <c r="I17" i="5" s="1"/>
  <c r="L51" i="24"/>
  <c r="P47" i="24"/>
  <c r="P50" i="24" s="1"/>
  <c r="M17" i="5" s="1"/>
  <c r="E41" i="24"/>
  <c r="E51" i="24" s="1"/>
  <c r="J42" i="24"/>
  <c r="J44" i="24" s="1"/>
  <c r="J50" i="24" s="1"/>
  <c r="G17" i="5" s="1"/>
  <c r="J51" i="24"/>
  <c r="O42" i="24"/>
  <c r="O44" i="24" s="1"/>
  <c r="O50" i="24" s="1"/>
  <c r="L17" i="5" s="1"/>
  <c r="O51" i="24"/>
  <c r="H7" i="1"/>
  <c r="R7" i="1"/>
  <c r="S7" i="1" s="1"/>
  <c r="F18" i="1"/>
  <c r="F14" i="1"/>
  <c r="F10" i="1"/>
  <c r="F17" i="1"/>
  <c r="F13" i="1"/>
  <c r="P14" i="11"/>
  <c r="O14" i="11"/>
  <c r="N14" i="11"/>
  <c r="M14" i="11"/>
  <c r="L14" i="11"/>
  <c r="K14" i="11"/>
  <c r="J14" i="11"/>
  <c r="I14" i="11"/>
  <c r="H14" i="11"/>
  <c r="G14" i="11"/>
  <c r="F14" i="11"/>
  <c r="E14" i="11"/>
  <c r="P12" i="11"/>
  <c r="P40" i="11" s="1"/>
  <c r="O12" i="11"/>
  <c r="O40" i="11" s="1"/>
  <c r="N12" i="11"/>
  <c r="N20" i="11" s="1"/>
  <c r="M12" i="11"/>
  <c r="M40" i="11" s="1"/>
  <c r="L12" i="11"/>
  <c r="L20" i="11" s="1"/>
  <c r="K12" i="11"/>
  <c r="K40" i="11" s="1"/>
  <c r="J12" i="11"/>
  <c r="J20" i="11" s="1"/>
  <c r="I12" i="11"/>
  <c r="I40" i="11" s="1"/>
  <c r="H12" i="11"/>
  <c r="H40" i="11" s="1"/>
  <c r="G12" i="11"/>
  <c r="G40" i="11" s="1"/>
  <c r="F12" i="11"/>
  <c r="F40" i="11" s="1"/>
  <c r="E12" i="11"/>
  <c r="E40" i="11" s="1"/>
  <c r="F54" i="24" l="1"/>
  <c r="F59" i="24" s="1"/>
  <c r="AD7" i="1"/>
  <c r="C8" i="2"/>
  <c r="K8" i="2"/>
  <c r="G54" i="24"/>
  <c r="G59" i="24" s="1"/>
  <c r="N50" i="24"/>
  <c r="K17" i="5" s="1"/>
  <c r="P53" i="24"/>
  <c r="K50" i="24"/>
  <c r="H17" i="5" s="1"/>
  <c r="K6" i="25"/>
  <c r="E54" i="24"/>
  <c r="E59" i="24" s="1"/>
  <c r="C19" i="23"/>
  <c r="C6" i="23"/>
  <c r="A44" i="24"/>
  <c r="E42" i="24"/>
  <c r="E44" i="24" s="1"/>
  <c r="I7" i="1"/>
  <c r="T7" i="1"/>
  <c r="L8" i="2" s="1"/>
  <c r="U7" i="1"/>
  <c r="M8" i="2" s="1"/>
  <c r="E8" i="11"/>
  <c r="J8" i="11"/>
  <c r="O8" i="11"/>
  <c r="K7" i="11"/>
  <c r="B4" i="11"/>
  <c r="E13" i="11" s="1"/>
  <c r="M7" i="11"/>
  <c r="G8" i="11"/>
  <c r="M8" i="11"/>
  <c r="I7" i="11"/>
  <c r="F8" i="11"/>
  <c r="K8" i="11"/>
  <c r="G7" i="11"/>
  <c r="O7" i="11"/>
  <c r="I8" i="11"/>
  <c r="N8" i="11"/>
  <c r="J40" i="11"/>
  <c r="N40" i="11"/>
  <c r="J36" i="11"/>
  <c r="J35" i="11"/>
  <c r="J34" i="11"/>
  <c r="J31" i="11"/>
  <c r="J29" i="11"/>
  <c r="J28" i="11"/>
  <c r="J25" i="11"/>
  <c r="J24" i="11"/>
  <c r="N36" i="11"/>
  <c r="N35" i="11"/>
  <c r="N34" i="11"/>
  <c r="N31" i="11"/>
  <c r="N29" i="11"/>
  <c r="N28" i="11"/>
  <c r="N25" i="11"/>
  <c r="N24" i="11"/>
  <c r="E20" i="11"/>
  <c r="I20" i="11"/>
  <c r="L36" i="11"/>
  <c r="L35" i="11"/>
  <c r="L34" i="11"/>
  <c r="L31" i="11"/>
  <c r="L29" i="11"/>
  <c r="L28" i="11"/>
  <c r="L25" i="11"/>
  <c r="L24" i="11"/>
  <c r="M20" i="11"/>
  <c r="F7" i="11"/>
  <c r="J7" i="11"/>
  <c r="N7" i="11"/>
  <c r="F20" i="11"/>
  <c r="L40" i="11"/>
  <c r="G20" i="11"/>
  <c r="K20" i="11"/>
  <c r="O20" i="11"/>
  <c r="H7" i="11"/>
  <c r="L7" i="11"/>
  <c r="P7" i="11"/>
  <c r="H8" i="11"/>
  <c r="L8" i="11"/>
  <c r="P8" i="11"/>
  <c r="H20" i="11"/>
  <c r="P20" i="11"/>
  <c r="C21" i="23" l="1"/>
  <c r="J7" i="1"/>
  <c r="E8" i="2" s="1"/>
  <c r="C34" i="23" s="1"/>
  <c r="D8" i="2"/>
  <c r="V7" i="1"/>
  <c r="N8" i="2" s="1"/>
  <c r="AE7" i="1"/>
  <c r="AF7" i="1" s="1"/>
  <c r="C6" i="15" s="1"/>
  <c r="L6" i="25"/>
  <c r="D54" i="24"/>
  <c r="D59" i="24" s="1"/>
  <c r="D61" i="24" s="1"/>
  <c r="E50" i="24"/>
  <c r="B17" i="5" s="1"/>
  <c r="AJ7" i="1"/>
  <c r="G6" i="15" s="1"/>
  <c r="G13" i="11"/>
  <c r="G19" i="11" s="1"/>
  <c r="O13" i="11"/>
  <c r="O19" i="11" s="1"/>
  <c r="M13" i="11"/>
  <c r="M19" i="11" s="1"/>
  <c r="P13" i="11"/>
  <c r="P19" i="11" s="1"/>
  <c r="F13" i="11"/>
  <c r="F19" i="11" s="1"/>
  <c r="K13" i="11"/>
  <c r="K19" i="11" s="1"/>
  <c r="J13" i="11"/>
  <c r="J19" i="11" s="1"/>
  <c r="J38" i="11" s="1"/>
  <c r="J39" i="11" s="1"/>
  <c r="L13" i="11"/>
  <c r="L19" i="11" s="1"/>
  <c r="L37" i="11" s="1"/>
  <c r="I13" i="11"/>
  <c r="I19" i="11" s="1"/>
  <c r="N13" i="11"/>
  <c r="N19" i="11" s="1"/>
  <c r="N38" i="11" s="1"/>
  <c r="N39" i="11" s="1"/>
  <c r="H13" i="11"/>
  <c r="H19" i="11" s="1"/>
  <c r="P48" i="11"/>
  <c r="G58" i="11" s="1"/>
  <c r="K36" i="11"/>
  <c r="K35" i="11"/>
  <c r="K34" i="11"/>
  <c r="K31" i="11"/>
  <c r="K29" i="11"/>
  <c r="K28" i="11"/>
  <c r="K25" i="11"/>
  <c r="K24" i="11"/>
  <c r="E36" i="11"/>
  <c r="E35" i="11"/>
  <c r="E34" i="11"/>
  <c r="E31" i="11"/>
  <c r="E29" i="11"/>
  <c r="E28" i="11"/>
  <c r="E25" i="11"/>
  <c r="E19" i="11"/>
  <c r="E24" i="11"/>
  <c r="P36" i="11"/>
  <c r="P35" i="11"/>
  <c r="P34" i="11"/>
  <c r="P31" i="11"/>
  <c r="P29" i="11"/>
  <c r="P28" i="11"/>
  <c r="P25" i="11"/>
  <c r="P24" i="11"/>
  <c r="I36" i="11"/>
  <c r="I35" i="11"/>
  <c r="I34" i="11"/>
  <c r="I31" i="11"/>
  <c r="I29" i="11"/>
  <c r="I25" i="11"/>
  <c r="I28" i="11"/>
  <c r="I24" i="11"/>
  <c r="H36" i="11"/>
  <c r="H35" i="11"/>
  <c r="H34" i="11"/>
  <c r="H31" i="11"/>
  <c r="H29" i="11"/>
  <c r="H28" i="11"/>
  <c r="H25" i="11"/>
  <c r="H24" i="11"/>
  <c r="O36" i="11"/>
  <c r="O35" i="11"/>
  <c r="O34" i="11"/>
  <c r="O31" i="11"/>
  <c r="O29" i="11"/>
  <c r="O28" i="11"/>
  <c r="O25" i="11"/>
  <c r="O24" i="11"/>
  <c r="G36" i="11"/>
  <c r="G35" i="11"/>
  <c r="G34" i="11"/>
  <c r="G31" i="11"/>
  <c r="G29" i="11"/>
  <c r="G28" i="11"/>
  <c r="G25" i="11"/>
  <c r="G24" i="11"/>
  <c r="F36" i="11"/>
  <c r="F35" i="11"/>
  <c r="F34" i="11"/>
  <c r="F31" i="11"/>
  <c r="F29" i="11"/>
  <c r="F28" i="11"/>
  <c r="F25" i="11"/>
  <c r="F24" i="11"/>
  <c r="M36" i="11"/>
  <c r="M35" i="11"/>
  <c r="M31" i="11"/>
  <c r="M34" i="11"/>
  <c r="M29" i="11"/>
  <c r="M28" i="11"/>
  <c r="M25" i="11"/>
  <c r="M24" i="11"/>
  <c r="K7" i="1" l="1"/>
  <c r="K6" i="15"/>
  <c r="L8" i="1"/>
  <c r="G9" i="2" s="1"/>
  <c r="D35" i="23" s="1"/>
  <c r="F8" i="2"/>
  <c r="C25" i="2" s="1"/>
  <c r="C37" i="23"/>
  <c r="M6" i="25"/>
  <c r="W7" i="1"/>
  <c r="AK8" i="1"/>
  <c r="J18" i="11"/>
  <c r="J37" i="11"/>
  <c r="N37" i="11"/>
  <c r="L38" i="11"/>
  <c r="L39" i="11" s="1"/>
  <c r="L18" i="11"/>
  <c r="N18" i="11"/>
  <c r="M38" i="11"/>
  <c r="M39" i="11" s="1"/>
  <c r="M37" i="11"/>
  <c r="M18" i="11"/>
  <c r="P38" i="11"/>
  <c r="P39" i="11" s="1"/>
  <c r="P18" i="11"/>
  <c r="P37" i="11"/>
  <c r="F38" i="11"/>
  <c r="F39" i="11" s="1"/>
  <c r="F37" i="11"/>
  <c r="F18" i="11"/>
  <c r="H37" i="11"/>
  <c r="H18" i="11"/>
  <c r="H38" i="11"/>
  <c r="H39" i="11" s="1"/>
  <c r="E38" i="11"/>
  <c r="E37" i="11"/>
  <c r="E18" i="11"/>
  <c r="I38" i="11"/>
  <c r="I39" i="11" s="1"/>
  <c r="I37" i="11"/>
  <c r="I18" i="11"/>
  <c r="G38" i="11"/>
  <c r="G39" i="11" s="1"/>
  <c r="G37" i="11"/>
  <c r="G18" i="11"/>
  <c r="O38" i="11"/>
  <c r="O39" i="11" s="1"/>
  <c r="O18" i="11"/>
  <c r="O37" i="11"/>
  <c r="K38" i="11"/>
  <c r="K39" i="11" s="1"/>
  <c r="K18" i="11"/>
  <c r="K37" i="11"/>
  <c r="H7" i="15" l="1"/>
  <c r="D41" i="23" s="1"/>
  <c r="D4" i="25"/>
  <c r="O52" i="11"/>
  <c r="G52" i="11"/>
  <c r="F52" i="11"/>
  <c r="X7" i="1"/>
  <c r="O8" i="2"/>
  <c r="I52" i="11"/>
  <c r="O6" i="25"/>
  <c r="N6" i="25"/>
  <c r="K52" i="11"/>
  <c r="N41" i="11"/>
  <c r="N51" i="11" s="1"/>
  <c r="L7" i="23" s="1"/>
  <c r="N52" i="11"/>
  <c r="J41" i="11"/>
  <c r="J42" i="11" s="1"/>
  <c r="J44" i="11" s="1"/>
  <c r="J52" i="11"/>
  <c r="H52" i="11"/>
  <c r="P52" i="11"/>
  <c r="M52" i="11"/>
  <c r="L52" i="11"/>
  <c r="L41" i="11"/>
  <c r="P41" i="11"/>
  <c r="M41" i="11"/>
  <c r="J45" i="11"/>
  <c r="E55" i="11" s="1"/>
  <c r="I41" i="11"/>
  <c r="G41" i="11"/>
  <c r="H41" i="11"/>
  <c r="P45" i="11"/>
  <c r="G55" i="11" s="1"/>
  <c r="F41" i="11"/>
  <c r="O41" i="11"/>
  <c r="K41" i="11"/>
  <c r="E39" i="11"/>
  <c r="E52" i="11" s="1"/>
  <c r="E53" i="11" s="1"/>
  <c r="P46" i="11"/>
  <c r="F53" i="11" l="1"/>
  <c r="D10" i="25"/>
  <c r="C39" i="23"/>
  <c r="P8" i="2"/>
  <c r="Y7" i="1"/>
  <c r="Q8" i="2" s="1"/>
  <c r="N42" i="11"/>
  <c r="N44" i="11" s="1"/>
  <c r="N50" i="11" s="1"/>
  <c r="K16" i="5" s="1"/>
  <c r="K21" i="5" s="1"/>
  <c r="L40" i="23" s="1"/>
  <c r="J51" i="11"/>
  <c r="H7" i="23" s="1"/>
  <c r="O42" i="11"/>
  <c r="O44" i="11" s="1"/>
  <c r="O50" i="11" s="1"/>
  <c r="L16" i="5" s="1"/>
  <c r="L21" i="5" s="1"/>
  <c r="M40" i="23" s="1"/>
  <c r="O51" i="11"/>
  <c r="M7" i="23" s="1"/>
  <c r="F42" i="11"/>
  <c r="F44" i="11" s="1"/>
  <c r="F50" i="11" s="1"/>
  <c r="C16" i="5" s="1"/>
  <c r="C21" i="5" s="1"/>
  <c r="D40" i="23" s="1"/>
  <c r="F51" i="11"/>
  <c r="D7" i="23" s="1"/>
  <c r="L42" i="11"/>
  <c r="L44" i="11" s="1"/>
  <c r="L50" i="11" s="1"/>
  <c r="I16" i="5" s="1"/>
  <c r="I21" i="5" s="1"/>
  <c r="J40" i="23" s="1"/>
  <c r="L51" i="11"/>
  <c r="J7" i="23" s="1"/>
  <c r="K42" i="11"/>
  <c r="K44" i="11" s="1"/>
  <c r="K50" i="11" s="1"/>
  <c r="H16" i="5" s="1"/>
  <c r="H21" i="5" s="1"/>
  <c r="I40" i="23" s="1"/>
  <c r="K51" i="11"/>
  <c r="I7" i="23" s="1"/>
  <c r="H42" i="11"/>
  <c r="H44" i="11" s="1"/>
  <c r="H50" i="11" s="1"/>
  <c r="E16" i="5" s="1"/>
  <c r="E21" i="5" s="1"/>
  <c r="F40" i="23" s="1"/>
  <c r="H51" i="11"/>
  <c r="F7" i="23" s="1"/>
  <c r="M42" i="11"/>
  <c r="M44" i="11" s="1"/>
  <c r="M50" i="11" s="1"/>
  <c r="J16" i="5" s="1"/>
  <c r="J21" i="5" s="1"/>
  <c r="K40" i="23" s="1"/>
  <c r="M51" i="11"/>
  <c r="K7" i="23" s="1"/>
  <c r="G42" i="11"/>
  <c r="G44" i="11" s="1"/>
  <c r="G50" i="11" s="1"/>
  <c r="D16" i="5" s="1"/>
  <c r="D21" i="5" s="1"/>
  <c r="E40" i="23" s="1"/>
  <c r="G51" i="11"/>
  <c r="E7" i="23" s="1"/>
  <c r="P42" i="11"/>
  <c r="P44" i="11" s="1"/>
  <c r="P51" i="11"/>
  <c r="N7" i="23" s="1"/>
  <c r="I42" i="11"/>
  <c r="I44" i="11" s="1"/>
  <c r="I50" i="11" s="1"/>
  <c r="F16" i="5" s="1"/>
  <c r="F21" i="5" s="1"/>
  <c r="G40" i="23" s="1"/>
  <c r="I51" i="11"/>
  <c r="G7" i="23" s="1"/>
  <c r="P47" i="11"/>
  <c r="E41" i="11"/>
  <c r="E51" i="11" s="1"/>
  <c r="C7" i="23" s="1"/>
  <c r="J50" i="11"/>
  <c r="G16" i="5" s="1"/>
  <c r="G21" i="5" s="1"/>
  <c r="H40" i="23" s="1"/>
  <c r="C11" i="23" l="1"/>
  <c r="G54" i="11"/>
  <c r="G53" i="11"/>
  <c r="E10" i="25"/>
  <c r="F54" i="11"/>
  <c r="F59" i="11" s="1"/>
  <c r="C22" i="23"/>
  <c r="D22" i="23" s="1"/>
  <c r="E22" i="23" s="1"/>
  <c r="F22" i="23" s="1"/>
  <c r="G22" i="23" s="1"/>
  <c r="H22" i="23" s="1"/>
  <c r="I22" i="23" s="1"/>
  <c r="J22" i="23" s="1"/>
  <c r="K22" i="23" s="1"/>
  <c r="L22" i="23" s="1"/>
  <c r="M22" i="23" s="1"/>
  <c r="N22" i="23" s="1"/>
  <c r="P50" i="11"/>
  <c r="M16" i="5" s="1"/>
  <c r="M21" i="5" s="1"/>
  <c r="N40" i="23" s="1"/>
  <c r="E54" i="11"/>
  <c r="E59" i="11" s="1"/>
  <c r="A44" i="11"/>
  <c r="E42" i="11"/>
  <c r="E44" i="11" s="1"/>
  <c r="E50" i="11" s="1"/>
  <c r="G59" i="11"/>
  <c r="H53" i="11" l="1"/>
  <c r="F10" i="25"/>
  <c r="C23" i="23"/>
  <c r="D54" i="11"/>
  <c r="D59" i="11" s="1"/>
  <c r="D61" i="11" s="1"/>
  <c r="B16" i="5"/>
  <c r="B21" i="5" l="1"/>
  <c r="C40" i="23" s="1"/>
  <c r="C46" i="23" s="1"/>
  <c r="I53" i="11"/>
  <c r="G10" i="25"/>
  <c r="C25" i="23"/>
  <c r="C26" i="23"/>
  <c r="D12" i="25" s="1"/>
  <c r="D13" i="25" s="1"/>
  <c r="N12" i="1"/>
  <c r="N17" i="1"/>
  <c r="N9" i="1"/>
  <c r="G8" i="1"/>
  <c r="B9" i="2" s="1"/>
  <c r="N16" i="1"/>
  <c r="N8" i="1"/>
  <c r="N15" i="1"/>
  <c r="N11" i="1"/>
  <c r="N18" i="1"/>
  <c r="N14" i="1"/>
  <c r="D3" i="25" l="1"/>
  <c r="D7" i="25" s="1"/>
  <c r="D9" i="25" s="1"/>
  <c r="D48" i="23"/>
  <c r="H10" i="25"/>
  <c r="J53" i="11"/>
  <c r="C27" i="23"/>
  <c r="D4" i="23"/>
  <c r="D19" i="23" s="1"/>
  <c r="H8" i="1"/>
  <c r="C9" i="2" s="1"/>
  <c r="N7" i="1"/>
  <c r="R8" i="1"/>
  <c r="R12" i="1"/>
  <c r="R16" i="1"/>
  <c r="N13" i="1"/>
  <c r="R17" i="1"/>
  <c r="R14" i="1"/>
  <c r="R11" i="1"/>
  <c r="R9" i="1"/>
  <c r="R13" i="1"/>
  <c r="R10" i="1"/>
  <c r="R18" i="1"/>
  <c r="R15" i="1"/>
  <c r="N10" i="1"/>
  <c r="G9" i="1"/>
  <c r="B10" i="2" s="1"/>
  <c r="D16" i="25" l="1"/>
  <c r="D17" i="25" s="1"/>
  <c r="D18" i="25" s="1"/>
  <c r="D20" i="25" s="1"/>
  <c r="I10" i="25"/>
  <c r="K53" i="11"/>
  <c r="D6" i="23"/>
  <c r="I8" i="1"/>
  <c r="AD8" i="1"/>
  <c r="S8" i="1"/>
  <c r="K9" i="2" s="1"/>
  <c r="S9" i="1"/>
  <c r="K10" i="2" s="1"/>
  <c r="S11" i="1"/>
  <c r="K12" i="2" s="1"/>
  <c r="H9" i="1"/>
  <c r="C10" i="2" s="1"/>
  <c r="N21" i="1"/>
  <c r="G10" i="1"/>
  <c r="B11" i="2" s="1"/>
  <c r="D9" i="2" l="1"/>
  <c r="J10" i="25"/>
  <c r="L53" i="11"/>
  <c r="J8" i="1"/>
  <c r="E9" i="2" s="1"/>
  <c r="D34" i="23" s="1"/>
  <c r="D37" i="23" s="1"/>
  <c r="D8" i="23"/>
  <c r="D21" i="23"/>
  <c r="E4" i="23"/>
  <c r="E6" i="23" s="1"/>
  <c r="E8" i="23" s="1"/>
  <c r="E10" i="23" s="1"/>
  <c r="E11" i="23" s="1"/>
  <c r="E12" i="23" s="1"/>
  <c r="T9" i="1"/>
  <c r="L10" i="2" s="1"/>
  <c r="U8" i="1"/>
  <c r="M9" i="2" s="1"/>
  <c r="AD9" i="1"/>
  <c r="H10" i="1"/>
  <c r="C11" i="2" s="1"/>
  <c r="I9" i="1"/>
  <c r="D10" i="2" s="1"/>
  <c r="G11" i="1"/>
  <c r="B12" i="2" s="1"/>
  <c r="K8" i="1" l="1"/>
  <c r="M53" i="11"/>
  <c r="K10" i="25"/>
  <c r="E21" i="23"/>
  <c r="D10" i="23"/>
  <c r="D23" i="23"/>
  <c r="E23" i="23" s="1"/>
  <c r="E19" i="23"/>
  <c r="F4" i="23"/>
  <c r="F6" i="23" s="1"/>
  <c r="F8" i="23" s="1"/>
  <c r="F10" i="23" s="1"/>
  <c r="F11" i="23" s="1"/>
  <c r="F12" i="23" s="1"/>
  <c r="AE9" i="1"/>
  <c r="AF9" i="1" s="1"/>
  <c r="C8" i="15" s="1"/>
  <c r="AJ8" i="1"/>
  <c r="G7" i="15" s="1"/>
  <c r="AD10" i="1"/>
  <c r="H11" i="1"/>
  <c r="C12" i="2" s="1"/>
  <c r="T8" i="1"/>
  <c r="L9" i="2" s="1"/>
  <c r="I10" i="1"/>
  <c r="D11" i="2" s="1"/>
  <c r="J9" i="1"/>
  <c r="G12" i="1"/>
  <c r="B13" i="2" s="1"/>
  <c r="K9" i="1" l="1"/>
  <c r="E10" i="2"/>
  <c r="F9" i="2"/>
  <c r="C26" i="2" s="1"/>
  <c r="L9" i="1"/>
  <c r="G10" i="2" s="1"/>
  <c r="E35" i="23" s="1"/>
  <c r="L10" i="25"/>
  <c r="N53" i="11"/>
  <c r="F19" i="23"/>
  <c r="F23" i="23"/>
  <c r="D11" i="23"/>
  <c r="D26" i="23" s="1"/>
  <c r="D25" i="23"/>
  <c r="E25" i="23" s="1"/>
  <c r="F25" i="23" s="1"/>
  <c r="F21" i="23"/>
  <c r="G4" i="23"/>
  <c r="G6" i="23" s="1"/>
  <c r="G8" i="23" s="1"/>
  <c r="G10" i="23" s="1"/>
  <c r="G11" i="23" s="1"/>
  <c r="G12" i="23" s="1"/>
  <c r="AK9" i="1"/>
  <c r="AE8" i="1"/>
  <c r="AF8" i="1" s="1"/>
  <c r="C7" i="15" s="1"/>
  <c r="K7" i="15" s="1"/>
  <c r="V8" i="1"/>
  <c r="N9" i="2" s="1"/>
  <c r="AD11" i="1"/>
  <c r="H12" i="1"/>
  <c r="C13" i="2" s="1"/>
  <c r="U9" i="1"/>
  <c r="M10" i="2" s="1"/>
  <c r="I11" i="1"/>
  <c r="D12" i="2" s="1"/>
  <c r="J10" i="1"/>
  <c r="G13" i="1"/>
  <c r="B14" i="2" s="1"/>
  <c r="E12" i="25" l="1"/>
  <c r="H8" i="15"/>
  <c r="E41" i="23" s="1"/>
  <c r="E11" i="2"/>
  <c r="F34" i="23" s="1"/>
  <c r="F10" i="2"/>
  <c r="C27" i="2" s="1"/>
  <c r="L10" i="1"/>
  <c r="G11" i="2" s="1"/>
  <c r="F35" i="23" s="1"/>
  <c r="O53" i="11"/>
  <c r="M10" i="25"/>
  <c r="K10" i="1"/>
  <c r="E4" i="25"/>
  <c r="E26" i="23"/>
  <c r="E34" i="23"/>
  <c r="E37" i="23" s="1"/>
  <c r="G21" i="23"/>
  <c r="D12" i="23"/>
  <c r="G23" i="23"/>
  <c r="G25" i="23"/>
  <c r="G19" i="23"/>
  <c r="H4" i="23"/>
  <c r="H6" i="23" s="1"/>
  <c r="H8" i="23" s="1"/>
  <c r="H10" i="23" s="1"/>
  <c r="H11" i="23" s="1"/>
  <c r="H12" i="23" s="1"/>
  <c r="AJ9" i="1"/>
  <c r="G8" i="15" s="1"/>
  <c r="V9" i="1"/>
  <c r="N10" i="2" s="1"/>
  <c r="AG9" i="1"/>
  <c r="D8" i="15" s="1"/>
  <c r="AD12" i="1"/>
  <c r="J11" i="1"/>
  <c r="W8" i="1"/>
  <c r="H13" i="1"/>
  <c r="C14" i="2" s="1"/>
  <c r="I12" i="1"/>
  <c r="D13" i="2" s="1"/>
  <c r="U11" i="1"/>
  <c r="M12" i="2" s="1"/>
  <c r="S10" i="1"/>
  <c r="K11" i="2" s="1"/>
  <c r="G14" i="1"/>
  <c r="B15" i="2" s="1"/>
  <c r="F37" i="23" l="1"/>
  <c r="K8" i="15"/>
  <c r="E12" i="2"/>
  <c r="G34" i="23" s="1"/>
  <c r="F11" i="2"/>
  <c r="C28" i="2" s="1"/>
  <c r="L11" i="1"/>
  <c r="G12" i="2" s="1"/>
  <c r="G35" i="23" s="1"/>
  <c r="O9" i="2"/>
  <c r="X8" i="1"/>
  <c r="P53" i="11"/>
  <c r="O10" i="25" s="1"/>
  <c r="N10" i="25"/>
  <c r="K11" i="1"/>
  <c r="F4" i="25"/>
  <c r="D27" i="23"/>
  <c r="E16" i="25" s="1"/>
  <c r="E17" i="25" s="1"/>
  <c r="E42" i="23"/>
  <c r="F12" i="25"/>
  <c r="F26" i="23"/>
  <c r="H19" i="23"/>
  <c r="H21" i="23"/>
  <c r="H23" i="23"/>
  <c r="H25" i="23"/>
  <c r="I4" i="23"/>
  <c r="I6" i="23" s="1"/>
  <c r="I8" i="23" s="1"/>
  <c r="I10" i="23" s="1"/>
  <c r="I11" i="23" s="1"/>
  <c r="I12" i="23" s="1"/>
  <c r="T10" i="1"/>
  <c r="L11" i="2" s="1"/>
  <c r="AJ11" i="1"/>
  <c r="G10" i="15" s="1"/>
  <c r="AD13" i="1"/>
  <c r="J12" i="1"/>
  <c r="AK10" i="1"/>
  <c r="U10" i="1"/>
  <c r="M11" i="2" s="1"/>
  <c r="T11" i="1"/>
  <c r="L12" i="2" s="1"/>
  <c r="H14" i="1"/>
  <c r="C15" i="2" s="1"/>
  <c r="W9" i="1"/>
  <c r="S12" i="1"/>
  <c r="K13" i="2" s="1"/>
  <c r="I13" i="1"/>
  <c r="D14" i="2" s="1"/>
  <c r="G15" i="1"/>
  <c r="B16" i="2" s="1"/>
  <c r="G37" i="23" l="1"/>
  <c r="H9" i="15"/>
  <c r="F41" i="23" s="1"/>
  <c r="L12" i="1"/>
  <c r="G13" i="2" s="1"/>
  <c r="H35" i="23" s="1"/>
  <c r="F12" i="2"/>
  <c r="C29" i="2" s="1"/>
  <c r="E13" i="2"/>
  <c r="H34" i="23" s="1"/>
  <c r="Y8" i="1"/>
  <c r="Q9" i="2" s="1"/>
  <c r="P9" i="2"/>
  <c r="X9" i="1"/>
  <c r="O10" i="2"/>
  <c r="E13" i="25"/>
  <c r="E18" i="25" s="1"/>
  <c r="D39" i="23"/>
  <c r="D46" i="23" s="1"/>
  <c r="D47" i="23" s="1"/>
  <c r="D49" i="23" s="1"/>
  <c r="K12" i="1"/>
  <c r="G4" i="25"/>
  <c r="E27" i="23"/>
  <c r="G26" i="23"/>
  <c r="I23" i="23"/>
  <c r="I21" i="23"/>
  <c r="I25" i="23"/>
  <c r="I19" i="23"/>
  <c r="J4" i="23"/>
  <c r="J6" i="23" s="1"/>
  <c r="J8" i="23" s="1"/>
  <c r="J10" i="23" s="1"/>
  <c r="J11" i="23" s="1"/>
  <c r="J12" i="23" s="1"/>
  <c r="V11" i="1"/>
  <c r="N12" i="2" s="1"/>
  <c r="AE11" i="1"/>
  <c r="AF11" i="1" s="1"/>
  <c r="C10" i="15" s="1"/>
  <c r="AJ10" i="1"/>
  <c r="G9" i="15" s="1"/>
  <c r="AE10" i="1"/>
  <c r="AF10" i="1" s="1"/>
  <c r="C9" i="15" s="1"/>
  <c r="V10" i="1"/>
  <c r="N11" i="2" s="1"/>
  <c r="AD14" i="1"/>
  <c r="U12" i="1"/>
  <c r="M13" i="2" s="1"/>
  <c r="AK12" i="1"/>
  <c r="H15" i="1"/>
  <c r="C16" i="2" s="1"/>
  <c r="I14" i="1"/>
  <c r="D15" i="2" s="1"/>
  <c r="AK11" i="1"/>
  <c r="T12" i="1"/>
  <c r="L13" i="2" s="1"/>
  <c r="J13" i="1"/>
  <c r="G16" i="1"/>
  <c r="B17" i="2" s="1"/>
  <c r="K9" i="15" l="1"/>
  <c r="H11" i="15"/>
  <c r="H41" i="23" s="1"/>
  <c r="H10" i="15"/>
  <c r="G41" i="23" s="1"/>
  <c r="F13" i="2"/>
  <c r="C30" i="2" s="1"/>
  <c r="L13" i="1"/>
  <c r="G14" i="2" s="1"/>
  <c r="I35" i="23" s="1"/>
  <c r="H37" i="23"/>
  <c r="E14" i="2"/>
  <c r="I34" i="23" s="1"/>
  <c r="F13" i="25"/>
  <c r="E39" i="23"/>
  <c r="E46" i="23" s="1"/>
  <c r="E47" i="23" s="1"/>
  <c r="P10" i="2"/>
  <c r="Y9" i="1"/>
  <c r="Q10" i="2" s="1"/>
  <c r="E3" i="25"/>
  <c r="E7" i="25" s="1"/>
  <c r="E9" i="25" s="1"/>
  <c r="E20" i="25" s="1"/>
  <c r="E48" i="23"/>
  <c r="G12" i="25"/>
  <c r="K13" i="1"/>
  <c r="H4" i="25"/>
  <c r="F27" i="23"/>
  <c r="F16" i="25"/>
  <c r="F17" i="25" s="1"/>
  <c r="H26" i="23"/>
  <c r="J21" i="23"/>
  <c r="J23" i="23"/>
  <c r="J19" i="23"/>
  <c r="J25" i="23"/>
  <c r="W11" i="1"/>
  <c r="K4" i="23"/>
  <c r="K6" i="23" s="1"/>
  <c r="K8" i="23" s="1"/>
  <c r="K10" i="23" s="1"/>
  <c r="K11" i="23" s="1"/>
  <c r="K12" i="23" s="1"/>
  <c r="AJ12" i="1"/>
  <c r="G11" i="15" s="1"/>
  <c r="AG11" i="1"/>
  <c r="D10" i="15" s="1"/>
  <c r="AE12" i="1"/>
  <c r="AF12" i="1" s="1"/>
  <c r="C11" i="15" s="1"/>
  <c r="AD15" i="1"/>
  <c r="H16" i="1"/>
  <c r="C17" i="2" s="1"/>
  <c r="S13" i="1"/>
  <c r="K14" i="2" s="1"/>
  <c r="J14" i="1"/>
  <c r="I15" i="1"/>
  <c r="D16" i="2" s="1"/>
  <c r="W10" i="1"/>
  <c r="V12" i="1"/>
  <c r="N13" i="2" s="1"/>
  <c r="S14" i="1"/>
  <c r="K15" i="2" s="1"/>
  <c r="G17" i="1"/>
  <c r="B18" i="2" s="1"/>
  <c r="K10" i="15" l="1"/>
  <c r="I37" i="23"/>
  <c r="F14" i="2"/>
  <c r="C31" i="2" s="1"/>
  <c r="L14" i="1"/>
  <c r="G15" i="2" s="1"/>
  <c r="J35" i="23" s="1"/>
  <c r="E15" i="2"/>
  <c r="J34" i="23" s="1"/>
  <c r="E49" i="23"/>
  <c r="F48" i="23" s="1"/>
  <c r="F18" i="25"/>
  <c r="X10" i="1"/>
  <c r="O11" i="2"/>
  <c r="X11" i="1"/>
  <c r="O12" i="2"/>
  <c r="K14" i="1"/>
  <c r="I4" i="25"/>
  <c r="G42" i="23"/>
  <c r="I26" i="23"/>
  <c r="G27" i="23"/>
  <c r="G16" i="25"/>
  <c r="G17" i="25" s="1"/>
  <c r="K23" i="23"/>
  <c r="K21" i="23"/>
  <c r="K19" i="23"/>
  <c r="K25" i="23"/>
  <c r="L4" i="23"/>
  <c r="L6" i="23" s="1"/>
  <c r="L8" i="23" s="1"/>
  <c r="L10" i="23" s="1"/>
  <c r="AK13" i="1"/>
  <c r="AG13" i="1"/>
  <c r="AD16" i="1"/>
  <c r="U14" i="1"/>
  <c r="M15" i="2" s="1"/>
  <c r="U13" i="1"/>
  <c r="M14" i="2" s="1"/>
  <c r="H17" i="1"/>
  <c r="C18" i="2" s="1"/>
  <c r="T13" i="1"/>
  <c r="L14" i="2" s="1"/>
  <c r="J15" i="1"/>
  <c r="I16" i="1"/>
  <c r="D17" i="2" s="1"/>
  <c r="T14" i="1"/>
  <c r="L15" i="2" s="1"/>
  <c r="W12" i="1"/>
  <c r="S15" i="1"/>
  <c r="K16" i="2" s="1"/>
  <c r="S16" i="1"/>
  <c r="K17" i="2" s="1"/>
  <c r="G18" i="1"/>
  <c r="B19" i="2" s="1"/>
  <c r="F3" i="25" l="1"/>
  <c r="F7" i="25" s="1"/>
  <c r="F9" i="25" s="1"/>
  <c r="F20" i="25" s="1"/>
  <c r="E16" i="2"/>
  <c r="K34" i="23" s="1"/>
  <c r="J37" i="23"/>
  <c r="D12" i="15"/>
  <c r="I42" i="23" s="1"/>
  <c r="H12" i="15"/>
  <c r="I41" i="23" s="1"/>
  <c r="F15" i="2"/>
  <c r="C32" i="2" s="1"/>
  <c r="L15" i="1"/>
  <c r="G16" i="2" s="1"/>
  <c r="K35" i="23" s="1"/>
  <c r="P12" i="2"/>
  <c r="Y11" i="1"/>
  <c r="Q12" i="2" s="1"/>
  <c r="G13" i="25"/>
  <c r="G18" i="25" s="1"/>
  <c r="F39" i="23"/>
  <c r="F46" i="23" s="1"/>
  <c r="F47" i="23" s="1"/>
  <c r="F49" i="23" s="1"/>
  <c r="O13" i="2"/>
  <c r="X12" i="1"/>
  <c r="P11" i="2"/>
  <c r="Y10" i="1"/>
  <c r="Q11" i="2" s="1"/>
  <c r="G39" i="23"/>
  <c r="G46" i="23" s="1"/>
  <c r="G47" i="23" s="1"/>
  <c r="K15" i="1"/>
  <c r="K11" i="15"/>
  <c r="H12" i="25"/>
  <c r="H13" i="25" s="1"/>
  <c r="H16" i="25"/>
  <c r="H17" i="25" s="1"/>
  <c r="H27" i="23"/>
  <c r="J26" i="23"/>
  <c r="L11" i="23"/>
  <c r="L19" i="23"/>
  <c r="L21" i="23"/>
  <c r="L25" i="23"/>
  <c r="L23" i="23"/>
  <c r="M4" i="23"/>
  <c r="M6" i="23" s="1"/>
  <c r="M8" i="23" s="1"/>
  <c r="M10" i="23" s="1"/>
  <c r="M11" i="23" s="1"/>
  <c r="M12" i="23" s="1"/>
  <c r="V13" i="1"/>
  <c r="N14" i="2" s="1"/>
  <c r="AE14" i="1"/>
  <c r="AF14" i="1" s="1"/>
  <c r="C13" i="15" s="1"/>
  <c r="AE13" i="1"/>
  <c r="AF13" i="1" s="1"/>
  <c r="C12" i="15" s="1"/>
  <c r="AJ13" i="1"/>
  <c r="G12" i="15" s="1"/>
  <c r="AJ14" i="1"/>
  <c r="G13" i="15" s="1"/>
  <c r="AD17" i="1"/>
  <c r="U16" i="1"/>
  <c r="M17" i="2" s="1"/>
  <c r="U15" i="1"/>
  <c r="M16" i="2" s="1"/>
  <c r="H18" i="1"/>
  <c r="I17" i="1"/>
  <c r="D18" i="2" s="1"/>
  <c r="J16" i="1"/>
  <c r="V14" i="1"/>
  <c r="N15" i="2" s="1"/>
  <c r="T15" i="1"/>
  <c r="L16" i="2" s="1"/>
  <c r="T16" i="1"/>
  <c r="L17" i="2" s="1"/>
  <c r="G21" i="1"/>
  <c r="G22" i="1"/>
  <c r="C19" i="2" l="1"/>
  <c r="C22" i="2" s="1"/>
  <c r="K37" i="23"/>
  <c r="E17" i="2"/>
  <c r="L34" i="23" s="1"/>
  <c r="L16" i="1"/>
  <c r="G17" i="2" s="1"/>
  <c r="L35" i="23" s="1"/>
  <c r="F16" i="2"/>
  <c r="C33" i="2" s="1"/>
  <c r="G3" i="25"/>
  <c r="G7" i="25" s="1"/>
  <c r="G9" i="25" s="1"/>
  <c r="G20" i="25" s="1"/>
  <c r="G48" i="23"/>
  <c r="G49" i="23" s="1"/>
  <c r="Y12" i="1"/>
  <c r="Q13" i="2" s="1"/>
  <c r="P13" i="2"/>
  <c r="H39" i="23"/>
  <c r="H46" i="23" s="1"/>
  <c r="H47" i="23" s="1"/>
  <c r="W13" i="1"/>
  <c r="K16" i="1"/>
  <c r="K4" i="25"/>
  <c r="J4" i="25"/>
  <c r="H18" i="25"/>
  <c r="K12" i="15"/>
  <c r="I12" i="25"/>
  <c r="I16" i="25"/>
  <c r="I17" i="25" s="1"/>
  <c r="I27" i="23"/>
  <c r="K26" i="23"/>
  <c r="L12" i="23"/>
  <c r="M23" i="23"/>
  <c r="M19" i="23"/>
  <c r="M25" i="23"/>
  <c r="M21" i="23"/>
  <c r="N4" i="23"/>
  <c r="N6" i="23" s="1"/>
  <c r="N8" i="23" s="1"/>
  <c r="N10" i="23" s="1"/>
  <c r="N11" i="23" s="1"/>
  <c r="N12" i="23" s="1"/>
  <c r="B22" i="2"/>
  <c r="AK15" i="1"/>
  <c r="AE15" i="1"/>
  <c r="AF15" i="1" s="1"/>
  <c r="C14" i="15" s="1"/>
  <c r="AG15" i="1"/>
  <c r="AE16" i="1"/>
  <c r="AF16" i="1" s="1"/>
  <c r="C15" i="15" s="1"/>
  <c r="AJ15" i="1"/>
  <c r="G14" i="15" s="1"/>
  <c r="AJ16" i="1"/>
  <c r="G15" i="15" s="1"/>
  <c r="AD18" i="1"/>
  <c r="J17" i="1"/>
  <c r="AK14" i="1"/>
  <c r="W14" i="1"/>
  <c r="V15" i="1"/>
  <c r="N16" i="2" s="1"/>
  <c r="S17" i="1"/>
  <c r="K18" i="2" s="1"/>
  <c r="V16" i="1"/>
  <c r="N17" i="2" s="1"/>
  <c r="I18" i="1"/>
  <c r="D19" i="2" s="1"/>
  <c r="H22" i="1"/>
  <c r="H21" i="1"/>
  <c r="L37" i="23" l="1"/>
  <c r="E18" i="2"/>
  <c r="M34" i="23" s="1"/>
  <c r="D14" i="15"/>
  <c r="K42" i="23" s="1"/>
  <c r="F17" i="2"/>
  <c r="C34" i="2" s="1"/>
  <c r="L17" i="1"/>
  <c r="G18" i="2" s="1"/>
  <c r="M35" i="23" s="1"/>
  <c r="H13" i="15"/>
  <c r="J41" i="23" s="1"/>
  <c r="H14" i="15"/>
  <c r="K41" i="23" s="1"/>
  <c r="H48" i="23"/>
  <c r="H49" i="23" s="1"/>
  <c r="H3" i="25"/>
  <c r="H7" i="25" s="1"/>
  <c r="H9" i="25" s="1"/>
  <c r="H20" i="25" s="1"/>
  <c r="X13" i="1"/>
  <c r="O14" i="2"/>
  <c r="O15" i="2"/>
  <c r="X14" i="1"/>
  <c r="I13" i="25"/>
  <c r="I18" i="25" s="1"/>
  <c r="K17" i="1"/>
  <c r="J12" i="25"/>
  <c r="L4" i="25"/>
  <c r="J16" i="25"/>
  <c r="J17" i="25" s="1"/>
  <c r="J27" i="23"/>
  <c r="L26" i="23"/>
  <c r="N19" i="23"/>
  <c r="N25" i="23"/>
  <c r="N23" i="23"/>
  <c r="N21" i="23"/>
  <c r="D22" i="2"/>
  <c r="AK17" i="1"/>
  <c r="AG17" i="1"/>
  <c r="AK16" i="1"/>
  <c r="U17" i="1"/>
  <c r="M18" i="2" s="1"/>
  <c r="W16" i="1"/>
  <c r="T17" i="1"/>
  <c r="L18" i="2" s="1"/>
  <c r="W15" i="1"/>
  <c r="J18" i="1"/>
  <c r="I21" i="1"/>
  <c r="I22" i="1"/>
  <c r="M37" i="23" l="1"/>
  <c r="K13" i="15"/>
  <c r="K14" i="15" s="1"/>
  <c r="H15" i="15"/>
  <c r="L41" i="23" s="1"/>
  <c r="F18" i="2"/>
  <c r="C35" i="2" s="1"/>
  <c r="L18" i="1"/>
  <c r="G19" i="2" s="1"/>
  <c r="N35" i="23" s="1"/>
  <c r="D16" i="15"/>
  <c r="M42" i="23" s="1"/>
  <c r="H16" i="15"/>
  <c r="M41" i="23" s="1"/>
  <c r="K18" i="1"/>
  <c r="K22" i="1" s="1"/>
  <c r="E19" i="2"/>
  <c r="Y14" i="1"/>
  <c r="Q15" i="2" s="1"/>
  <c r="P15" i="2"/>
  <c r="J39" i="23"/>
  <c r="J46" i="23" s="1"/>
  <c r="J47" i="23" s="1"/>
  <c r="X15" i="1"/>
  <c r="O16" i="2"/>
  <c r="I48" i="23"/>
  <c r="I3" i="25"/>
  <c r="I7" i="25" s="1"/>
  <c r="I9" i="25" s="1"/>
  <c r="I20" i="25" s="1"/>
  <c r="J13" i="25"/>
  <c r="J18" i="25" s="1"/>
  <c r="I39" i="23"/>
  <c r="I46" i="23" s="1"/>
  <c r="I47" i="23" s="1"/>
  <c r="O17" i="2"/>
  <c r="X16" i="1"/>
  <c r="P14" i="2"/>
  <c r="Y13" i="1"/>
  <c r="Q14" i="2" s="1"/>
  <c r="M4" i="25"/>
  <c r="M26" i="23"/>
  <c r="K16" i="25"/>
  <c r="K17" i="25" s="1"/>
  <c r="K27" i="23"/>
  <c r="J22" i="1"/>
  <c r="J21" i="1"/>
  <c r="AE17" i="1"/>
  <c r="AF17" i="1" s="1"/>
  <c r="C16" i="15" s="1"/>
  <c r="AJ17" i="1"/>
  <c r="G16" i="15" s="1"/>
  <c r="S18" i="1"/>
  <c r="V17" i="1"/>
  <c r="N18" i="2" s="1"/>
  <c r="K12" i="25" l="1"/>
  <c r="K13" i="25" s="1"/>
  <c r="K18" i="25" s="1"/>
  <c r="K21" i="1"/>
  <c r="L22" i="1"/>
  <c r="L21" i="1"/>
  <c r="K19" i="2"/>
  <c r="K22" i="2" s="1"/>
  <c r="F19" i="2"/>
  <c r="C36" i="2" s="1"/>
  <c r="O4" i="25" s="1"/>
  <c r="L19" i="1"/>
  <c r="G20" i="2" s="1"/>
  <c r="G22" i="2" s="1"/>
  <c r="L39" i="23"/>
  <c r="L46" i="23" s="1"/>
  <c r="L47" i="23" s="1"/>
  <c r="I49" i="23"/>
  <c r="K39" i="23"/>
  <c r="K46" i="23" s="1"/>
  <c r="K47" i="23" s="1"/>
  <c r="Y16" i="1"/>
  <c r="Q17" i="2" s="1"/>
  <c r="P17" i="2"/>
  <c r="P16" i="2"/>
  <c r="Y15" i="1"/>
  <c r="Q16" i="2" s="1"/>
  <c r="K15" i="15"/>
  <c r="L12" i="25"/>
  <c r="N4" i="25"/>
  <c r="L16" i="25"/>
  <c r="L17" i="25" s="1"/>
  <c r="L27" i="23"/>
  <c r="N26" i="23"/>
  <c r="N34" i="23"/>
  <c r="N37" i="23" s="1"/>
  <c r="E22" i="2"/>
  <c r="AK18" i="1"/>
  <c r="T18" i="1"/>
  <c r="W17" i="1"/>
  <c r="U18" i="1"/>
  <c r="M19" i="2" s="1"/>
  <c r="S22" i="1"/>
  <c r="S21" i="1"/>
  <c r="F22" i="2" l="1"/>
  <c r="H17" i="15"/>
  <c r="N41" i="23" s="1"/>
  <c r="T22" i="1"/>
  <c r="L19" i="2"/>
  <c r="L22" i="2" s="1"/>
  <c r="L13" i="25"/>
  <c r="L18" i="25" s="1"/>
  <c r="J3" i="25"/>
  <c r="J7" i="25" s="1"/>
  <c r="J9" i="25" s="1"/>
  <c r="J20" i="25" s="1"/>
  <c r="J48" i="23"/>
  <c r="J49" i="23" s="1"/>
  <c r="X17" i="1"/>
  <c r="O18" i="2"/>
  <c r="K16" i="15"/>
  <c r="M12" i="25"/>
  <c r="M13" i="25" s="1"/>
  <c r="M27" i="23"/>
  <c r="M16" i="25"/>
  <c r="M17" i="25" s="1"/>
  <c r="AE18" i="1"/>
  <c r="AF18" i="1" s="1"/>
  <c r="C17" i="15" s="1"/>
  <c r="U21" i="1"/>
  <c r="M22" i="2"/>
  <c r="V18" i="1"/>
  <c r="N19" i="2" s="1"/>
  <c r="T21" i="1"/>
  <c r="AJ18" i="1"/>
  <c r="G17" i="15" s="1"/>
  <c r="U22" i="1"/>
  <c r="AG19" i="1" l="1"/>
  <c r="D18" i="15" s="1"/>
  <c r="V21" i="1"/>
  <c r="W18" i="1"/>
  <c r="X18" i="1" s="1"/>
  <c r="X21" i="1" s="1"/>
  <c r="M39" i="23"/>
  <c r="M46" i="23" s="1"/>
  <c r="M47" i="23" s="1"/>
  <c r="P18" i="2"/>
  <c r="Y17" i="1"/>
  <c r="Q18" i="2" s="1"/>
  <c r="K48" i="23"/>
  <c r="K49" i="23" s="1"/>
  <c r="K3" i="25"/>
  <c r="K7" i="25" s="1"/>
  <c r="K9" i="25" s="1"/>
  <c r="K20" i="25" s="1"/>
  <c r="V22" i="1"/>
  <c r="M18" i="25"/>
  <c r="K17" i="15"/>
  <c r="O12" i="25" s="1"/>
  <c r="N12" i="25"/>
  <c r="N16" i="25"/>
  <c r="N17" i="25" s="1"/>
  <c r="N27" i="23"/>
  <c r="O16" i="25" s="1"/>
  <c r="O17" i="25" s="1"/>
  <c r="N22" i="2"/>
  <c r="AK19" i="1"/>
  <c r="H18" i="15" s="1"/>
  <c r="W21" i="1" l="1"/>
  <c r="W22" i="1"/>
  <c r="O19" i="2"/>
  <c r="O22" i="2" s="1"/>
  <c r="Y18" i="1"/>
  <c r="P19" i="2"/>
  <c r="P22" i="2" s="1"/>
  <c r="L48" i="23"/>
  <c r="L49" i="23" s="1"/>
  <c r="L3" i="25"/>
  <c r="L7" i="25" s="1"/>
  <c r="L9" i="25" s="1"/>
  <c r="L20" i="25" s="1"/>
  <c r="X22" i="1"/>
  <c r="O13" i="25"/>
  <c r="O18" i="25" s="1"/>
  <c r="N39" i="23"/>
  <c r="N46" i="23" s="1"/>
  <c r="N47" i="23" s="1"/>
  <c r="N13" i="25"/>
  <c r="N18" i="25" s="1"/>
  <c r="M48" i="23" l="1"/>
  <c r="M49" i="23" s="1"/>
  <c r="M3" i="25"/>
  <c r="M7" i="25" s="1"/>
  <c r="M9" i="25" s="1"/>
  <c r="M20" i="25" s="1"/>
  <c r="Q19" i="2"/>
  <c r="Q22" i="2" s="1"/>
  <c r="Y22" i="1"/>
  <c r="Y21" i="1"/>
  <c r="N3" i="25" l="1"/>
  <c r="N7" i="25" s="1"/>
  <c r="N9" i="25" s="1"/>
  <c r="N20" i="25" s="1"/>
  <c r="N48" i="23"/>
  <c r="N49" i="23" s="1"/>
  <c r="O3" i="25" s="1"/>
  <c r="O9" i="25" s="1"/>
  <c r="O20" i="25" s="1"/>
</calcChain>
</file>

<file path=xl/sharedStrings.xml><?xml version="1.0" encoding="utf-8"?>
<sst xmlns="http://schemas.openxmlformats.org/spreadsheetml/2006/main" count="664" uniqueCount="166">
  <si>
    <t>MES</t>
  </si>
  <si>
    <t>UNIDADES</t>
  </si>
  <si>
    <t>P. VENTAS</t>
  </si>
  <si>
    <t>VENTA TOTAL</t>
  </si>
  <si>
    <t>IVA</t>
  </si>
  <si>
    <t>VENTA MÁS IVA</t>
  </si>
  <si>
    <t>COSTO UNITARIO</t>
  </si>
  <si>
    <t>COMPRA</t>
  </si>
  <si>
    <t>RETEFUENTE</t>
  </si>
  <si>
    <t>COMPRA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</si>
  <si>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</si>
  <si>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</si>
  <si>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</si>
  <si>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</si>
  <si>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</si>
  <si>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</si>
  <si>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</si>
  <si>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</si>
  <si>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</si>
  <si>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</si>
  <si>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</si>
  <si>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</si>
  <si>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</si>
  <si>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promedio</t>
  </si>
  <si>
    <t>costo de ventas</t>
  </si>
  <si>
    <t>CONSOLIDADO VENTAS</t>
  </si>
  <si>
    <t>CONSOLIDADO COMPRAS</t>
  </si>
  <si>
    <t>VENTA</t>
  </si>
  <si>
    <t>CONTADO</t>
  </si>
  <si>
    <t>MES DE PAGO</t>
  </si>
  <si>
    <t>SENA</t>
  </si>
  <si>
    <t>ICBF</t>
  </si>
  <si>
    <t>INFLACION</t>
  </si>
  <si>
    <t>VENTAS 2021</t>
  </si>
  <si>
    <t>COMPRAS 2021</t>
  </si>
  <si>
    <t>Inflacion</t>
  </si>
  <si>
    <t>Sueldo Basico</t>
  </si>
  <si>
    <t>SM</t>
  </si>
  <si>
    <t>Aux Transporte</t>
  </si>
  <si>
    <t>Menos de2 SMLV</t>
  </si>
  <si>
    <t>Auxilio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</si>
  <si>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</si>
  <si>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</si>
  <si>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</si>
  <si>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</si>
  <si>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</si>
  <si>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</si>
  <si>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</si>
  <si>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</si>
  <si>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</si>
  <si>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</si>
  <si>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</si>
  <si>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</si>
  <si>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Horas Extras</t>
  </si>
  <si>
    <t>Salario Minimo</t>
  </si>
  <si>
    <t>Diurna</t>
  </si>
  <si>
    <t>Nocturna</t>
  </si>
  <si>
    <t>Recargo</t>
  </si>
  <si>
    <t>D.Dom Y Fes</t>
  </si>
  <si>
    <t>Valor HE</t>
  </si>
  <si>
    <t>N.Dom Y Fes</t>
  </si>
  <si>
    <t>Cantidad HE</t>
  </si>
  <si>
    <t>Factores Salariales</t>
  </si>
  <si>
    <t>Auxilio de Transporte</t>
  </si>
  <si>
    <t>Horas Extra</t>
  </si>
  <si>
    <t>Comisiones</t>
  </si>
  <si>
    <t>Viaticos</t>
  </si>
  <si>
    <t>Pago</t>
  </si>
  <si>
    <t>Bases para Liquidar</t>
  </si>
  <si>
    <t>Total Devengado</t>
  </si>
  <si>
    <t>Total Devengado sin AUX</t>
  </si>
  <si>
    <t>Salud</t>
  </si>
  <si>
    <t>Empleado</t>
  </si>
  <si>
    <t>Empleador</t>
  </si>
  <si>
    <t>Pension</t>
  </si>
  <si>
    <t>Riesgo Tipo</t>
  </si>
  <si>
    <t>Parafiscales</t>
  </si>
  <si>
    <t>CC</t>
  </si>
  <si>
    <t>Prima</t>
  </si>
  <si>
    <t>Cesantias</t>
  </si>
  <si>
    <t>Interes Cesantias</t>
  </si>
  <si>
    <t>Vacaciones</t>
  </si>
  <si>
    <t>Costo Mensual Total del Empleado</t>
  </si>
  <si>
    <t>Costo de su Nomina Mes</t>
  </si>
  <si>
    <t>Numero de Empleados</t>
  </si>
  <si>
    <t>Total Mensual a Nomina Salarios</t>
  </si>
  <si>
    <t>ToTal</t>
  </si>
  <si>
    <t>Salarios</t>
  </si>
  <si>
    <t>Int Cesantias</t>
  </si>
  <si>
    <t>Total Trimestre</t>
  </si>
  <si>
    <t>PAGO DEL IVA</t>
  </si>
  <si>
    <t>PAGO DE LA RETEFUENTE</t>
  </si>
  <si>
    <t>IVA VENTAS</t>
  </si>
  <si>
    <t>IVA COMPRAS</t>
  </si>
  <si>
    <t>CUANTO PAGO POR IVA</t>
  </si>
  <si>
    <t>TOTAL INGRESOS</t>
  </si>
  <si>
    <t>TOTAL EGRESOS</t>
  </si>
  <si>
    <t>GASTOS MENSUALES</t>
  </si>
  <si>
    <t>PRECIO DE COMPRA</t>
  </si>
  <si>
    <t>PRECIO DE VENTA</t>
  </si>
  <si>
    <t>MARGEN DE UTILIDAD</t>
  </si>
  <si>
    <t>TOTALES</t>
  </si>
  <si>
    <t>AÑO 1</t>
  </si>
  <si>
    <t>VENTAS</t>
  </si>
  <si>
    <t>COSTO DE VENTAS</t>
  </si>
  <si>
    <t>UTILIDAD BRUTA</t>
  </si>
  <si>
    <t>GASTOS DE OPERACIÓN</t>
  </si>
  <si>
    <t>UTILIDAD OPERACIONAL</t>
  </si>
  <si>
    <t>EGRESOS FINANCIEROS</t>
  </si>
  <si>
    <t>UTILIDAD ANTES DE IMPUESTOS</t>
  </si>
  <si>
    <t>PROVISION IMPORENTA</t>
  </si>
  <si>
    <t>UTILIDAD NETA</t>
  </si>
  <si>
    <t>CREDITO</t>
  </si>
  <si>
    <t>RECAUDO CRÉDITO</t>
  </si>
  <si>
    <t>RECAUDO CREDITO</t>
  </si>
  <si>
    <t>ARRIENDO OFICINA</t>
  </si>
  <si>
    <t>ESTADO DE RESULTADOS</t>
  </si>
  <si>
    <t>ESTADO DE PERDIDAS Y GANANCIAS</t>
  </si>
  <si>
    <t>NOMINA 1</t>
  </si>
  <si>
    <t>NOMINA 2</t>
  </si>
  <si>
    <t>PRIMA 1</t>
  </si>
  <si>
    <t>PRIMA 2</t>
  </si>
  <si>
    <t>OTROS GASTOS</t>
  </si>
  <si>
    <t>PRESUPUESTO DE EFECTIVO</t>
  </si>
  <si>
    <t>VENTAS DE CONTADO NETO</t>
  </si>
  <si>
    <t>RECAUDO CARTERA NETO</t>
  </si>
  <si>
    <t xml:space="preserve">COMPRAS </t>
  </si>
  <si>
    <t>GASTOS OPERACIONALES</t>
  </si>
  <si>
    <t>RETEFUENTE(COMPRAS)</t>
  </si>
  <si>
    <t>FLUJO NETO</t>
  </si>
  <si>
    <t>SALDO INICIAL DE CAJA</t>
  </si>
  <si>
    <t>SALDO FINAL DE CAJA</t>
  </si>
  <si>
    <t>CAJA</t>
  </si>
  <si>
    <t>CUENTAS X COBRAR</t>
  </si>
  <si>
    <t>INVENTARIOS</t>
  </si>
  <si>
    <t>TOTAL ACTIVO CTE.</t>
  </si>
  <si>
    <t xml:space="preserve">TOTAL ACTIVO </t>
  </si>
  <si>
    <t>OBLIGACIONES DE NOMINA</t>
  </si>
  <si>
    <t>PROVEEDORES</t>
  </si>
  <si>
    <t>IMPUESTOS POR PAGAR</t>
  </si>
  <si>
    <t>PASIVO CORRIENTE</t>
  </si>
  <si>
    <t>CAPITAL PAGADO</t>
  </si>
  <si>
    <t>UTILIDADES DEL EJERCICIO</t>
  </si>
  <si>
    <t>PATRIMONIO</t>
  </si>
  <si>
    <t>TOTAL PASIVO Y PATRIMONIO</t>
  </si>
  <si>
    <t>INICIAL</t>
  </si>
  <si>
    <t>OBLIGACIONES</t>
  </si>
  <si>
    <t>TOTAL</t>
  </si>
  <si>
    <t>LOCALES</t>
  </si>
  <si>
    <t>ARRIENDOS</t>
  </si>
  <si>
    <t>SERVICIOS</t>
  </si>
  <si>
    <t>SERVICIOS LOCALES</t>
  </si>
  <si>
    <t>ARRIENDOS LOCALES</t>
  </si>
  <si>
    <t>MANTENIMIENTO LOCAL</t>
  </si>
  <si>
    <t>PAGO SER. OFICINA</t>
  </si>
  <si>
    <t>SEGURIDAD</t>
  </si>
  <si>
    <t>S. TELEFONIA</t>
  </si>
  <si>
    <t>TAPABOCAS</t>
  </si>
  <si>
    <t>LITROS DE GEL ANITBACTERIAL</t>
  </si>
  <si>
    <t>LITROS DE GEL ANTIBACTERIAL</t>
  </si>
  <si>
    <t>LITROS DE DESINFECTANTE</t>
  </si>
  <si>
    <t>#operarios</t>
  </si>
  <si>
    <t>#empleados</t>
  </si>
  <si>
    <t>Diferencia</t>
  </si>
  <si>
    <t xml:space="preserve">INTERESES </t>
  </si>
  <si>
    <t xml:space="preserve">AMORTIZACION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</si>
</sst>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.00"/>
    <numFmt numFmtId="167" formatCode="0.0%"/>
    <numFmt numFmtId="168" formatCode="_-&quot;$&quot;\ * #,##0.0_-;\-&quot;$&quot;\ * #,##0.0_-;_-&quot;$&quot;\ * &quot;-&quot;_-;_-@_-"/>
    <numFmt numFmtId="169" formatCode="&quot;$&quot;#,##0"/>
    <numFmt numFmtId="170" formatCode="_-&quot;$&quot;\ * #,##0.0_-;\-&quot;$&quot;\ * #,##0.0_-;_-&quot;$&quot;\ * &quot;-&quot;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2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1" xfId="0" applyBorder="1"/>
    <xf numFmtId="166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164" fontId="0" fillId="0" borderId="0" xfId="0" applyNumberFormat="1"/>
    <xf numFmtId="0" fontId="0" fillId="0" borderId="0" xfId="0" applyBorder="1" applyAlignment="1">
      <alignment vertical="center" wrapText="1"/>
    </xf>
    <xf numFmtId="9" fontId="0" fillId="0" borderId="0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165" fontId="0" fillId="0" borderId="0" xfId="0" applyNumberFormat="1"/>
    <xf numFmtId="0" fontId="0" fillId="2" borderId="0" xfId="0" applyFill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0" fontId="0" fillId="0" borderId="0" xfId="0" applyBorder="1"/>
    <xf numFmtId="166" fontId="0" fillId="0" borderId="0" xfId="1" applyNumberFormat="1" applyFont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2" fontId="0" fillId="4" borderId="0" xfId="4" applyFont="1" applyFill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8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68" fontId="0" fillId="3" borderId="0" xfId="0" applyNumberFormat="1" applyFill="1" applyAlignment="1">
      <alignment horizontal="center" vertical="center"/>
    </xf>
    <xf numFmtId="168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8" fontId="0" fillId="5" borderId="0" xfId="4" applyNumberFormat="1" applyFont="1" applyFill="1" applyAlignment="1">
      <alignment horizontal="center" vertical="center"/>
    </xf>
    <xf numFmtId="168" fontId="0" fillId="2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8" fontId="0" fillId="6" borderId="0" xfId="0" applyNumberFormat="1" applyFill="1" applyAlignment="1">
      <alignment horizontal="center" vertical="center"/>
    </xf>
    <xf numFmtId="9" fontId="0" fillId="3" borderId="0" xfId="2" applyFont="1" applyFill="1" applyAlignment="1">
      <alignment horizontal="center" vertical="center"/>
    </xf>
    <xf numFmtId="168" fontId="0" fillId="6" borderId="0" xfId="4" applyNumberFormat="1" applyFont="1" applyFill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168" fontId="0" fillId="3" borderId="3" xfId="0" applyNumberFormat="1" applyFill="1" applyBorder="1" applyAlignment="1">
      <alignment horizontal="center" vertical="center"/>
    </xf>
    <xf numFmtId="168" fontId="0" fillId="3" borderId="4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68" fontId="0" fillId="3" borderId="6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8" fontId="0" fillId="3" borderId="28" xfId="0" applyNumberFormat="1" applyFill="1" applyBorder="1" applyAlignment="1">
      <alignment horizontal="center" vertical="center"/>
    </xf>
    <xf numFmtId="168" fontId="0" fillId="3" borderId="29" xfId="0" applyNumberFormat="1" applyFill="1" applyBorder="1" applyAlignment="1">
      <alignment horizontal="center" vertical="center"/>
    </xf>
    <xf numFmtId="168" fontId="5" fillId="3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/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1" xfId="1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/>
    </xf>
    <xf numFmtId="169" fontId="0" fillId="0" borderId="1" xfId="1" applyNumberFormat="1" applyFont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1" xfId="0" applyFill="1" applyBorder="1"/>
    <xf numFmtId="164" fontId="0" fillId="3" borderId="1" xfId="0" applyNumberFormat="1" applyFill="1" applyBorder="1"/>
    <xf numFmtId="9" fontId="0" fillId="3" borderId="0" xfId="0" applyNumberFormat="1" applyFill="1"/>
    <xf numFmtId="164" fontId="0" fillId="3" borderId="1" xfId="0" applyNumberFormat="1" applyFill="1" applyBorder="1" applyAlignment="1">
      <alignment vertical="center"/>
    </xf>
    <xf numFmtId="164" fontId="0" fillId="3" borderId="0" xfId="0" applyNumberForma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9" fontId="0" fillId="0" borderId="0" xfId="0" applyNumberFormat="1"/>
    <xf numFmtId="164" fontId="2" fillId="4" borderId="1" xfId="1" applyFont="1" applyFill="1" applyBorder="1" applyAlignment="1">
      <alignment horizontal="center" vertical="center"/>
    </xf>
    <xf numFmtId="170" fontId="0" fillId="3" borderId="0" xfId="0" applyNumberFormat="1" applyFill="1" applyAlignment="1">
      <alignment horizontal="center" vertical="center"/>
    </xf>
    <xf numFmtId="164" fontId="0" fillId="3" borderId="21" xfId="1" applyFont="1" applyFill="1" applyBorder="1" applyAlignment="1">
      <alignment horizontal="center" vertical="center"/>
    </xf>
    <xf numFmtId="164" fontId="2" fillId="4" borderId="21" xfId="1" applyFont="1" applyFill="1" applyBorder="1" applyAlignment="1">
      <alignment horizontal="center" vertical="center"/>
    </xf>
    <xf numFmtId="164" fontId="2" fillId="4" borderId="32" xfId="1" applyFont="1" applyFill="1" applyBorder="1" applyAlignment="1">
      <alignment horizontal="center" vertical="center"/>
    </xf>
    <xf numFmtId="164" fontId="2" fillId="4" borderId="33" xfId="1" applyFont="1" applyFill="1" applyBorder="1" applyAlignment="1">
      <alignment horizontal="center" vertical="center"/>
    </xf>
    <xf numFmtId="164" fontId="0" fillId="3" borderId="1" xfId="1" applyFont="1" applyFill="1" applyBorder="1"/>
    <xf numFmtId="164" fontId="2" fillId="4" borderId="1" xfId="1" applyFont="1" applyFill="1" applyBorder="1"/>
    <xf numFmtId="169" fontId="0" fillId="0" borderId="1" xfId="0" applyNumberFormat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5" xfId="0" applyFill="1" applyBorder="1"/>
    <xf numFmtId="9" fontId="0" fillId="8" borderId="10" xfId="0" applyNumberForma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9" fontId="2" fillId="8" borderId="0" xfId="0" applyNumberFormat="1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9" fontId="0" fillId="8" borderId="0" xfId="0" applyNumberFormat="1" applyFill="1" applyAlignment="1">
      <alignment horizontal="center" vertical="center"/>
    </xf>
    <xf numFmtId="10" fontId="0" fillId="8" borderId="0" xfId="0" applyNumberFormat="1" applyFill="1" applyAlignment="1">
      <alignment horizontal="center" vertical="center"/>
    </xf>
    <xf numFmtId="9" fontId="0" fillId="8" borderId="13" xfId="0" applyNumberForma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164" fontId="0" fillId="9" borderId="1" xfId="0" applyNumberFormat="1" applyFill="1" applyBorder="1"/>
    <xf numFmtId="0" fontId="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/>
    <xf numFmtId="0" fontId="9" fillId="8" borderId="0" xfId="0" applyFont="1" applyFill="1"/>
    <xf numFmtId="0" fontId="10" fillId="3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44" fontId="0" fillId="9" borderId="1" xfId="0" applyNumberForma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left" vertical="center"/>
    </xf>
    <xf numFmtId="0" fontId="10" fillId="9" borderId="17" xfId="0" applyFont="1" applyFill="1" applyBorder="1" applyAlignment="1">
      <alignment horizontal="left" vertical="center"/>
    </xf>
    <xf numFmtId="0" fontId="10" fillId="9" borderId="20" xfId="0" applyFont="1" applyFill="1" applyBorder="1" applyAlignment="1">
      <alignment horizontal="left" vertical="center"/>
    </xf>
    <xf numFmtId="0" fontId="10" fillId="9" borderId="31" xfId="0" applyFont="1" applyFill="1" applyBorder="1" applyAlignment="1">
      <alignment horizontal="left" vertical="center"/>
    </xf>
    <xf numFmtId="0" fontId="12" fillId="8" borderId="14" xfId="0" applyFont="1" applyFill="1" applyBorder="1"/>
    <xf numFmtId="164" fontId="0" fillId="0" borderId="34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165" fontId="0" fillId="0" borderId="35" xfId="0" applyNumberFormat="1" applyBorder="1" applyAlignment="1">
      <alignment horizontal="center" vertical="center" wrapText="1"/>
    </xf>
    <xf numFmtId="165" fontId="0" fillId="0" borderId="36" xfId="0" applyNumberFormat="1" applyBorder="1" applyAlignment="1">
      <alignment horizontal="center" vertical="center" wrapText="1"/>
    </xf>
    <xf numFmtId="165" fontId="0" fillId="0" borderId="37" xfId="0" applyNumberFormat="1" applyBorder="1"/>
    <xf numFmtId="0" fontId="2" fillId="8" borderId="35" xfId="0" applyFont="1" applyFill="1" applyBorder="1" applyAlignment="1">
      <alignment horizontal="center" vertical="center" wrapText="1"/>
    </xf>
    <xf numFmtId="169" fontId="0" fillId="0" borderId="36" xfId="0" applyNumberFormat="1" applyBorder="1"/>
    <xf numFmtId="169" fontId="0" fillId="0" borderId="37" xfId="0" applyNumberFormat="1" applyBorder="1"/>
    <xf numFmtId="0" fontId="0" fillId="9" borderId="2" xfId="0" applyFill="1" applyBorder="1"/>
    <xf numFmtId="164" fontId="0" fillId="9" borderId="3" xfId="0" applyNumberFormat="1" applyFill="1" applyBorder="1"/>
    <xf numFmtId="164" fontId="0" fillId="9" borderId="4" xfId="0" applyNumberFormat="1" applyFill="1" applyBorder="1"/>
    <xf numFmtId="0" fontId="0" fillId="9" borderId="7" xfId="0" applyFill="1" applyBorder="1"/>
    <xf numFmtId="164" fontId="0" fillId="9" borderId="8" xfId="0" applyNumberFormat="1" applyFill="1" applyBorder="1"/>
    <xf numFmtId="164" fontId="0" fillId="9" borderId="9" xfId="0" applyNumberFormat="1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0" xfId="1" applyFont="1" applyFill="1" applyBorder="1" applyAlignment="1">
      <alignment horizontal="center" vertical="center"/>
    </xf>
    <xf numFmtId="164" fontId="0" fillId="3" borderId="6" xfId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4" fontId="10" fillId="9" borderId="8" xfId="0" applyNumberFormat="1" applyFont="1" applyFill="1" applyBorder="1" applyAlignment="1">
      <alignment horizontal="center" vertical="center"/>
    </xf>
    <xf numFmtId="164" fontId="10" fillId="9" borderId="9" xfId="0" applyNumberFormat="1" applyFont="1" applyFill="1" applyBorder="1" applyAlignment="1">
      <alignment horizontal="center" vertical="center"/>
    </xf>
    <xf numFmtId="0" fontId="10" fillId="2" borderId="38" xfId="0" applyFont="1" applyFill="1" applyBorder="1"/>
    <xf numFmtId="0" fontId="10" fillId="2" borderId="39" xfId="0" applyFont="1" applyFill="1" applyBorder="1"/>
    <xf numFmtId="0" fontId="11" fillId="2" borderId="39" xfId="0" applyFont="1" applyFill="1" applyBorder="1"/>
    <xf numFmtId="0" fontId="10" fillId="7" borderId="39" xfId="0" applyFont="1" applyFill="1" applyBorder="1"/>
    <xf numFmtId="0" fontId="11" fillId="7" borderId="39" xfId="0" applyFont="1" applyFill="1" applyBorder="1"/>
    <xf numFmtId="0" fontId="10" fillId="6" borderId="39" xfId="0" applyFont="1" applyFill="1" applyBorder="1"/>
    <xf numFmtId="0" fontId="11" fillId="6" borderId="7" xfId="0" applyFont="1" applyFill="1" applyBorder="1"/>
    <xf numFmtId="0" fontId="10" fillId="8" borderId="17" xfId="0" applyFont="1" applyFill="1" applyBorder="1"/>
    <xf numFmtId="0" fontId="10" fillId="8" borderId="30" xfId="0" applyFont="1" applyFill="1" applyBorder="1"/>
    <xf numFmtId="0" fontId="10" fillId="8" borderId="19" xfId="0" applyFont="1" applyFill="1" applyBorder="1"/>
    <xf numFmtId="164" fontId="0" fillId="3" borderId="20" xfId="1" applyFont="1" applyFill="1" applyBorder="1"/>
    <xf numFmtId="164" fontId="0" fillId="3" borderId="21" xfId="1" applyFont="1" applyFill="1" applyBorder="1"/>
    <xf numFmtId="164" fontId="2" fillId="4" borderId="20" xfId="1" applyFont="1" applyFill="1" applyBorder="1"/>
    <xf numFmtId="164" fontId="2" fillId="4" borderId="21" xfId="1" applyFont="1" applyFill="1" applyBorder="1"/>
    <xf numFmtId="164" fontId="2" fillId="4" borderId="31" xfId="1" applyFont="1" applyFill="1" applyBorder="1"/>
    <xf numFmtId="164" fontId="2" fillId="4" borderId="32" xfId="1" applyFont="1" applyFill="1" applyBorder="1"/>
    <xf numFmtId="164" fontId="2" fillId="4" borderId="33" xfId="1" applyFont="1" applyFill="1" applyBorder="1"/>
    <xf numFmtId="168" fontId="0" fillId="8" borderId="0" xfId="0" applyNumberFormat="1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8" fontId="0" fillId="3" borderId="0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70" fontId="0" fillId="3" borderId="0" xfId="0" applyNumberFormat="1" applyFill="1" applyBorder="1" applyAlignment="1">
      <alignment horizontal="center" vertical="center"/>
    </xf>
    <xf numFmtId="170" fontId="0" fillId="3" borderId="6" xfId="0" applyNumberFormat="1" applyFill="1" applyBorder="1" applyAlignment="1">
      <alignment horizontal="center" vertical="center"/>
    </xf>
    <xf numFmtId="170" fontId="0" fillId="3" borderId="8" xfId="0" applyNumberFormat="1" applyFill="1" applyBorder="1" applyAlignment="1">
      <alignment horizontal="center" vertical="center"/>
    </xf>
    <xf numFmtId="170" fontId="0" fillId="3" borderId="9" xfId="0" applyNumberFormat="1" applyFill="1" applyBorder="1" applyAlignment="1">
      <alignment horizontal="center" vertical="center"/>
    </xf>
    <xf numFmtId="168" fontId="0" fillId="5" borderId="1" xfId="0" applyNumberFormat="1" applyFill="1" applyBorder="1" applyAlignment="1">
      <alignment horizontal="center" vertical="center"/>
    </xf>
    <xf numFmtId="168" fontId="0" fillId="5" borderId="1" xfId="4" applyNumberFormat="1" applyFon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168" fontId="0" fillId="6" borderId="1" xfId="4" applyNumberFormat="1" applyFont="1" applyFill="1" applyBorder="1" applyAlignment="1">
      <alignment horizontal="center" vertical="center"/>
    </xf>
    <xf numFmtId="164" fontId="0" fillId="9" borderId="32" xfId="1" applyFont="1" applyFill="1" applyBorder="1" applyAlignment="1">
      <alignment horizontal="center" vertical="center"/>
    </xf>
    <xf numFmtId="164" fontId="0" fillId="9" borderId="33" xfId="1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9" fontId="2" fillId="8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5">
    <cellStyle name="Moneda [0]" xfId="1" builtinId="7"/>
    <cellStyle name="Moneda [0] 2" xfId="4" xr:uid="{3756F020-4B05-462F-ABB2-C1640DE64470}"/>
    <cellStyle name="Normal" xfId="0" builtinId="0"/>
    <cellStyle name="Normal 2" xfId="3" xr:uid="{18D2BC90-8123-4F1E-8221-6F46DC7E69C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E2B07-0249-4A21-8BAA-D2A5F76828F9}">
  <dimension ref="A1:AK24"/>
  <sheetViews>
    <sheetView zoomScale="70" zoomScaleNormal="70" workbookViewId="0">
      <selection activeCell="U10" sqref="U10"/>
    </sheetView>
  </sheetViews>
  <sheetFormatPr baseColWidth="10" defaultRowHeight="15" x14ac:dyDescent="0.25"/>
  <cols>
    <col min="1" max="1" width="23" customWidth="1"/>
    <col min="2" max="2" width="22.7109375" customWidth="1"/>
    <col min="3" max="3" width="26" customWidth="1"/>
    <col min="4" max="4" width="23.42578125" customWidth="1"/>
    <col min="5" max="5" width="14.28515625" customWidth="1"/>
    <col min="6" max="6" width="14.5703125" customWidth="1"/>
    <col min="7" max="7" width="16.28515625" customWidth="1"/>
    <col min="8" max="10" width="22.85546875" customWidth="1"/>
    <col min="11" max="16" width="22.7109375" customWidth="1"/>
    <col min="17" max="17" width="16.28515625" customWidth="1"/>
    <col min="19" max="19" width="17.5703125" customWidth="1"/>
    <col min="20" max="20" width="15.140625" customWidth="1"/>
    <col min="21" max="21" width="15.42578125" customWidth="1"/>
    <col min="22" max="22" width="20.5703125" customWidth="1"/>
    <col min="23" max="23" width="20.85546875" customWidth="1"/>
    <col min="24" max="24" width="18" customWidth="1"/>
    <col min="25" max="26" width="16.85546875" customWidth="1"/>
    <col min="27" max="27" width="17.140625" customWidth="1"/>
    <col min="28" max="28" width="17.7109375" customWidth="1"/>
    <col min="29" max="30" width="17.28515625" customWidth="1"/>
    <col min="31" max="31" width="15.28515625" customWidth="1"/>
    <col min="32" max="32" width="14.7109375" customWidth="1"/>
    <col min="33" max="33" width="15.42578125" customWidth="1"/>
    <col min="34" max="34" width="13.85546875" customWidth="1"/>
    <col min="35" max="35" width="14.5703125" customWidth="1"/>
    <col min="37" max="37" width="11.7109375" bestFit="1" customWidth="1"/>
    <col min="38" max="39" width="12.5703125" bestFit="1" customWidth="1"/>
  </cols>
  <sheetData>
    <row r="1" spans="1:37" ht="15.75" thickBot="1" x14ac:dyDescent="0.3"/>
    <row r="2" spans="1:37" x14ac:dyDescent="0.25">
      <c r="A2" s="89" t="s">
        <v>100</v>
      </c>
      <c r="B2" s="56">
        <v>0.5</v>
      </c>
      <c r="D2" s="197" t="s">
        <v>33</v>
      </c>
      <c r="E2" s="198"/>
      <c r="F2" s="198"/>
      <c r="G2" s="198"/>
      <c r="H2" s="198"/>
      <c r="I2" s="198"/>
      <c r="J2" s="198"/>
      <c r="K2" s="198"/>
      <c r="L2" s="199"/>
      <c r="M2" s="9"/>
      <c r="N2" s="9"/>
      <c r="O2" s="9"/>
      <c r="P2" s="197" t="s">
        <v>34</v>
      </c>
      <c r="Q2" s="207"/>
      <c r="R2" s="207"/>
      <c r="S2" s="207"/>
      <c r="T2" s="207"/>
      <c r="U2" s="207"/>
      <c r="V2" s="207"/>
      <c r="W2" s="207"/>
      <c r="X2" s="207"/>
      <c r="Y2" s="208"/>
      <c r="AC2" s="197" t="s">
        <v>90</v>
      </c>
      <c r="AD2" s="198"/>
      <c r="AE2" s="198"/>
      <c r="AF2" s="198"/>
      <c r="AG2" s="199"/>
      <c r="AH2" s="51"/>
      <c r="AI2" s="184" t="s">
        <v>91</v>
      </c>
      <c r="AJ2" s="185"/>
      <c r="AK2" s="186"/>
    </row>
    <row r="3" spans="1:37" ht="15.75" thickBot="1" x14ac:dyDescent="0.3">
      <c r="A3" s="89" t="s">
        <v>32</v>
      </c>
      <c r="B3" s="55"/>
      <c r="D3" s="200"/>
      <c r="E3" s="206"/>
      <c r="F3" s="206"/>
      <c r="G3" s="206"/>
      <c r="H3" s="206"/>
      <c r="I3" s="206"/>
      <c r="J3" s="206"/>
      <c r="K3" s="206"/>
      <c r="L3" s="202"/>
      <c r="M3" s="9"/>
      <c r="N3" s="9"/>
      <c r="O3" s="9"/>
      <c r="P3" s="209"/>
      <c r="Q3" s="210"/>
      <c r="R3" s="210"/>
      <c r="S3" s="210"/>
      <c r="T3" s="210"/>
      <c r="U3" s="210"/>
      <c r="V3" s="210"/>
      <c r="W3" s="210"/>
      <c r="X3" s="210"/>
      <c r="Y3" s="211"/>
      <c r="AC3" s="200"/>
      <c r="AD3" s="201"/>
      <c r="AE3" s="201"/>
      <c r="AF3" s="201"/>
      <c r="AG3" s="202"/>
      <c r="AH3" s="51"/>
      <c r="AI3" s="187"/>
      <c r="AJ3" s="188"/>
      <c r="AK3" s="189"/>
    </row>
    <row r="4" spans="1:37" ht="15" customHeight="1" thickBot="1" x14ac:dyDescent="0.3">
      <c r="A4" s="90" t="s">
        <v>157</v>
      </c>
      <c r="B4" s="54">
        <v>2021</v>
      </c>
      <c r="D4" s="203"/>
      <c r="E4" s="204"/>
      <c r="F4" s="204"/>
      <c r="G4" s="204"/>
      <c r="H4" s="204"/>
      <c r="I4" s="204"/>
      <c r="J4" s="204"/>
      <c r="K4" s="204"/>
      <c r="L4" s="205"/>
      <c r="M4" s="9"/>
      <c r="N4" s="9"/>
      <c r="O4" s="9"/>
      <c r="P4" s="196" t="str">
        <f>D5</f>
        <v>TAPABOCAS</v>
      </c>
      <c r="Q4" s="196"/>
      <c r="R4" s="196"/>
      <c r="S4" s="196"/>
      <c r="T4" s="196"/>
      <c r="U4" s="196"/>
      <c r="V4" s="196"/>
      <c r="W4" s="196"/>
      <c r="X4" s="196"/>
      <c r="Y4" s="196"/>
      <c r="AC4" s="203"/>
      <c r="AD4" s="204"/>
      <c r="AE4" s="204"/>
      <c r="AF4" s="204"/>
      <c r="AG4" s="205"/>
      <c r="AH4" s="51"/>
      <c r="AI4" s="190"/>
      <c r="AJ4" s="191"/>
      <c r="AK4" s="192"/>
    </row>
    <row r="5" spans="1:37" ht="15.75" thickBot="1" x14ac:dyDescent="0.3">
      <c r="A5" s="90" t="s">
        <v>99</v>
      </c>
      <c r="B5" s="59">
        <f>B6/(1-B2)</f>
        <v>700</v>
      </c>
      <c r="D5" s="212" t="s">
        <v>157</v>
      </c>
      <c r="E5" s="212"/>
      <c r="F5" s="212"/>
      <c r="G5" s="213">
        <v>0.19</v>
      </c>
      <c r="H5" s="212"/>
      <c r="I5" s="212"/>
      <c r="J5" s="91">
        <v>0.85</v>
      </c>
      <c r="K5" s="91"/>
      <c r="L5" s="91"/>
      <c r="M5" s="10"/>
      <c r="N5" s="10"/>
      <c r="O5" s="10"/>
      <c r="P5" s="94"/>
      <c r="Q5" s="95"/>
      <c r="R5" s="96"/>
      <c r="S5" s="97"/>
      <c r="T5" s="98">
        <v>0.19</v>
      </c>
      <c r="U5" s="99">
        <v>3.5000000000000003E-2</v>
      </c>
      <c r="V5" s="97"/>
      <c r="W5" s="98">
        <v>1</v>
      </c>
      <c r="X5" s="98"/>
      <c r="Y5" s="100"/>
      <c r="AC5" s="193" t="str">
        <f>P4</f>
        <v>TAPABOCAS</v>
      </c>
      <c r="AD5" s="194"/>
      <c r="AE5" s="194"/>
      <c r="AF5" s="194"/>
      <c r="AG5" s="195"/>
      <c r="AI5" s="196" t="str">
        <f>A4</f>
        <v>TAPABOCAS</v>
      </c>
      <c r="AJ5" s="196"/>
      <c r="AK5" s="196"/>
    </row>
    <row r="6" spans="1:37" ht="30" x14ac:dyDescent="0.25">
      <c r="A6" s="90" t="s">
        <v>98</v>
      </c>
      <c r="B6" s="59">
        <v>350</v>
      </c>
      <c r="D6" s="92" t="s">
        <v>0</v>
      </c>
      <c r="E6" s="92" t="s">
        <v>1</v>
      </c>
      <c r="F6" s="92" t="s">
        <v>2</v>
      </c>
      <c r="G6" s="92" t="s">
        <v>3</v>
      </c>
      <c r="H6" s="92" t="s">
        <v>4</v>
      </c>
      <c r="I6" s="92" t="s">
        <v>5</v>
      </c>
      <c r="J6" s="92" t="s">
        <v>28</v>
      </c>
      <c r="K6" s="92" t="s">
        <v>112</v>
      </c>
      <c r="L6" s="92" t="s">
        <v>113</v>
      </c>
      <c r="M6" s="11"/>
      <c r="N6" s="92" t="s">
        <v>24</v>
      </c>
      <c r="O6" s="11"/>
      <c r="P6" s="92" t="s">
        <v>0</v>
      </c>
      <c r="Q6" s="101" t="s">
        <v>1</v>
      </c>
      <c r="R6" s="92" t="s">
        <v>6</v>
      </c>
      <c r="S6" s="92" t="s">
        <v>7</v>
      </c>
      <c r="T6" s="92" t="s">
        <v>4</v>
      </c>
      <c r="U6" s="92" t="s">
        <v>8</v>
      </c>
      <c r="V6" s="92" t="s">
        <v>9</v>
      </c>
      <c r="W6" s="92" t="s">
        <v>28</v>
      </c>
      <c r="X6" s="92" t="s">
        <v>112</v>
      </c>
      <c r="Y6" s="92" t="s">
        <v>114</v>
      </c>
      <c r="AA6" s="125" t="s">
        <v>134</v>
      </c>
      <c r="AC6" s="92" t="s">
        <v>0</v>
      </c>
      <c r="AD6" s="92" t="s">
        <v>92</v>
      </c>
      <c r="AE6" s="92" t="s">
        <v>93</v>
      </c>
      <c r="AF6" s="92" t="s">
        <v>94</v>
      </c>
      <c r="AG6" s="92" t="s">
        <v>29</v>
      </c>
      <c r="AI6" s="101" t="s">
        <v>0</v>
      </c>
      <c r="AJ6" s="101" t="s">
        <v>8</v>
      </c>
      <c r="AK6" s="101" t="s">
        <v>29</v>
      </c>
    </row>
    <row r="7" spans="1:37" x14ac:dyDescent="0.25">
      <c r="D7" s="93" t="s">
        <v>10</v>
      </c>
      <c r="E7" s="3">
        <v>11250</v>
      </c>
      <c r="F7" s="60">
        <f t="shared" ref="F7:F18" si="0">$B$5</f>
        <v>700</v>
      </c>
      <c r="G7" s="5">
        <f>E7*F7</f>
        <v>7875000</v>
      </c>
      <c r="H7" s="4">
        <f>G7*$G$5</f>
        <v>1496250</v>
      </c>
      <c r="I7" s="5">
        <f>G7+H7</f>
        <v>9371250</v>
      </c>
      <c r="J7" s="5">
        <f>I7*$J$5</f>
        <v>7965562.5</v>
      </c>
      <c r="K7" s="5">
        <f>I7-J7</f>
        <v>1405687.5</v>
      </c>
      <c r="L7" s="3"/>
      <c r="M7" s="12"/>
      <c r="N7" s="120">
        <f t="shared" ref="N7:N18" si="1">E7*$B$6</f>
        <v>3937500</v>
      </c>
      <c r="O7" s="12"/>
      <c r="P7" s="102" t="s">
        <v>10</v>
      </c>
      <c r="Q7" s="1">
        <v>11260</v>
      </c>
      <c r="R7" s="60">
        <f t="shared" ref="R7:R18" si="2">$B$6</f>
        <v>350</v>
      </c>
      <c r="S7" s="6">
        <f>R7*Q7</f>
        <v>3941000</v>
      </c>
      <c r="T7" s="6">
        <f>S7*$T$5</f>
        <v>748790</v>
      </c>
      <c r="U7" s="7">
        <f>S7*$U$5</f>
        <v>137935</v>
      </c>
      <c r="V7" s="7">
        <f>S7+T7-U7</f>
        <v>4551855</v>
      </c>
      <c r="W7" s="7">
        <f>V7*$W$5</f>
        <v>4551855</v>
      </c>
      <c r="X7" s="7">
        <f>V7-W7</f>
        <v>0</v>
      </c>
      <c r="Y7" s="7">
        <f>X7</f>
        <v>0</v>
      </c>
      <c r="AA7" s="126">
        <f t="shared" ref="AA7:AA18" si="3">(Q7-E7)*$B$6</f>
        <v>3500</v>
      </c>
      <c r="AC7" s="102" t="s">
        <v>10</v>
      </c>
      <c r="AD7" s="6">
        <f t="shared" ref="AD7:AD18" si="4">H7</f>
        <v>1496250</v>
      </c>
      <c r="AE7" s="6">
        <f>T7</f>
        <v>748790</v>
      </c>
      <c r="AF7" s="6">
        <f>AD7-AE7</f>
        <v>747460</v>
      </c>
      <c r="AG7" s="1"/>
      <c r="AI7" s="102" t="s">
        <v>10</v>
      </c>
      <c r="AJ7" s="6">
        <f>U7</f>
        <v>137935</v>
      </c>
      <c r="AK7" s="1"/>
    </row>
    <row r="8" spans="1:37" x14ac:dyDescent="0.25">
      <c r="B8" s="2"/>
      <c r="D8" s="93" t="s">
        <v>11</v>
      </c>
      <c r="E8" s="3">
        <v>11300</v>
      </c>
      <c r="F8" s="60">
        <f t="shared" si="0"/>
        <v>700</v>
      </c>
      <c r="G8" s="5">
        <f t="shared" ref="G8:G18" si="5">E8*F8</f>
        <v>7910000</v>
      </c>
      <c r="H8" s="53">
        <f t="shared" ref="H8:H18" si="6">G8*$G$5</f>
        <v>1502900</v>
      </c>
      <c r="I8" s="5">
        <f t="shared" ref="I8:I18" si="7">G8+H8</f>
        <v>9412900</v>
      </c>
      <c r="J8" s="5">
        <f t="shared" ref="J8:J18" si="8">I8*$J$5</f>
        <v>8000965</v>
      </c>
      <c r="K8" s="5">
        <f>I8-J8</f>
        <v>1411935</v>
      </c>
      <c r="L8" s="5">
        <f>K7</f>
        <v>1405687.5</v>
      </c>
      <c r="M8" s="13"/>
      <c r="N8" s="120">
        <f t="shared" si="1"/>
        <v>3955000</v>
      </c>
      <c r="O8" s="13"/>
      <c r="P8" s="102" t="s">
        <v>11</v>
      </c>
      <c r="Q8" s="1">
        <v>11310</v>
      </c>
      <c r="R8" s="60">
        <f t="shared" si="2"/>
        <v>350</v>
      </c>
      <c r="S8" s="6">
        <f>R8*Q8</f>
        <v>3958500</v>
      </c>
      <c r="T8" s="6">
        <f>S8*$T$5</f>
        <v>752115</v>
      </c>
      <c r="U8" s="7">
        <f>S8*$U$5</f>
        <v>138547.5</v>
      </c>
      <c r="V8" s="7">
        <f>S8+T8-U8</f>
        <v>4572067.5</v>
      </c>
      <c r="W8" s="7">
        <f t="shared" ref="W8:W18" si="9">V8*$W$5</f>
        <v>4572067.5</v>
      </c>
      <c r="X8" s="7">
        <f t="shared" ref="X8:X18" si="10">V8-W8</f>
        <v>0</v>
      </c>
      <c r="Y8" s="7">
        <f t="shared" ref="Y8:Y18" si="11">X8</f>
        <v>0</v>
      </c>
      <c r="AA8" s="126">
        <f t="shared" si="3"/>
        <v>3500</v>
      </c>
      <c r="AC8" s="102" t="s">
        <v>11</v>
      </c>
      <c r="AD8" s="6">
        <f t="shared" si="4"/>
        <v>1502900</v>
      </c>
      <c r="AE8" s="6">
        <f t="shared" ref="AE8:AE18" si="12">T8</f>
        <v>752115</v>
      </c>
      <c r="AF8" s="6">
        <f t="shared" ref="AF8:AF18" si="13">AD8-AE8</f>
        <v>750785</v>
      </c>
      <c r="AG8" s="1"/>
      <c r="AI8" s="102" t="s">
        <v>11</v>
      </c>
      <c r="AJ8" s="6">
        <f t="shared" ref="AJ8:AJ18" si="14">U8</f>
        <v>138547.5</v>
      </c>
      <c r="AK8" s="6">
        <f>AJ7</f>
        <v>137935</v>
      </c>
    </row>
    <row r="9" spans="1:37" ht="16.5" customHeight="1" x14ac:dyDescent="0.25">
      <c r="D9" s="93" t="s">
        <v>12</v>
      </c>
      <c r="E9" s="3">
        <v>11290</v>
      </c>
      <c r="F9" s="60">
        <f t="shared" si="0"/>
        <v>700</v>
      </c>
      <c r="G9" s="5">
        <f t="shared" si="5"/>
        <v>7903000</v>
      </c>
      <c r="H9" s="53">
        <f t="shared" si="6"/>
        <v>1501570</v>
      </c>
      <c r="I9" s="5">
        <f t="shared" si="7"/>
        <v>9404570</v>
      </c>
      <c r="J9" s="5">
        <f t="shared" si="8"/>
        <v>7993884.5</v>
      </c>
      <c r="K9" s="5">
        <f t="shared" ref="K9:K18" si="15">I9-J9</f>
        <v>1410685.5</v>
      </c>
      <c r="L9" s="5">
        <f t="shared" ref="L9:L19" si="16">K8</f>
        <v>1411935</v>
      </c>
      <c r="M9" s="13"/>
      <c r="N9" s="120">
        <f t="shared" si="1"/>
        <v>3951500</v>
      </c>
      <c r="O9" s="13"/>
      <c r="P9" s="102" t="s">
        <v>12</v>
      </c>
      <c r="Q9" s="1">
        <v>11300</v>
      </c>
      <c r="R9" s="60">
        <f t="shared" si="2"/>
        <v>350</v>
      </c>
      <c r="S9" s="6">
        <f>R9*Q9</f>
        <v>3955000</v>
      </c>
      <c r="T9" s="6">
        <f>S9*$T$5</f>
        <v>751450</v>
      </c>
      <c r="U9" s="7">
        <f t="shared" ref="U9:U18" si="17">S9*$U$5</f>
        <v>138425</v>
      </c>
      <c r="V9" s="7">
        <f>S9+T9-U9</f>
        <v>4568025</v>
      </c>
      <c r="W9" s="7">
        <f t="shared" si="9"/>
        <v>4568025</v>
      </c>
      <c r="X9" s="7">
        <f t="shared" si="10"/>
        <v>0</v>
      </c>
      <c r="Y9" s="7">
        <f t="shared" si="11"/>
        <v>0</v>
      </c>
      <c r="AA9" s="126">
        <f t="shared" si="3"/>
        <v>3500</v>
      </c>
      <c r="AC9" s="102" t="s">
        <v>12</v>
      </c>
      <c r="AD9" s="6">
        <f t="shared" si="4"/>
        <v>1501570</v>
      </c>
      <c r="AE9" s="6">
        <f t="shared" si="12"/>
        <v>751450</v>
      </c>
      <c r="AF9" s="6">
        <f t="shared" si="13"/>
        <v>750120</v>
      </c>
      <c r="AG9" s="6">
        <f>AF8+AF7</f>
        <v>1498245</v>
      </c>
      <c r="AI9" s="102" t="s">
        <v>12</v>
      </c>
      <c r="AJ9" s="6">
        <f t="shared" si="14"/>
        <v>138425</v>
      </c>
      <c r="AK9" s="6">
        <f>AJ8</f>
        <v>138547.5</v>
      </c>
    </row>
    <row r="10" spans="1:37" ht="16.5" customHeight="1" x14ac:dyDescent="0.25">
      <c r="D10" s="93" t="s">
        <v>13</v>
      </c>
      <c r="E10" s="3">
        <v>11220</v>
      </c>
      <c r="F10" s="60">
        <f t="shared" si="0"/>
        <v>700</v>
      </c>
      <c r="G10" s="5">
        <f t="shared" si="5"/>
        <v>7854000</v>
      </c>
      <c r="H10" s="53">
        <f t="shared" si="6"/>
        <v>1492260</v>
      </c>
      <c r="I10" s="5">
        <f t="shared" si="7"/>
        <v>9346260</v>
      </c>
      <c r="J10" s="5">
        <f t="shared" si="8"/>
        <v>7944321</v>
      </c>
      <c r="K10" s="5">
        <f t="shared" si="15"/>
        <v>1401939</v>
      </c>
      <c r="L10" s="5">
        <f t="shared" si="16"/>
        <v>1410685.5</v>
      </c>
      <c r="M10" s="13"/>
      <c r="N10" s="120">
        <f t="shared" si="1"/>
        <v>3927000</v>
      </c>
      <c r="O10" s="13"/>
      <c r="P10" s="102" t="s">
        <v>13</v>
      </c>
      <c r="Q10" s="1">
        <v>11220</v>
      </c>
      <c r="R10" s="60">
        <f t="shared" si="2"/>
        <v>350</v>
      </c>
      <c r="S10" s="6">
        <f t="shared" ref="S10:S18" si="18">R10*Q10</f>
        <v>3927000</v>
      </c>
      <c r="T10" s="6">
        <f>S10*$T$5</f>
        <v>746130</v>
      </c>
      <c r="U10" s="7">
        <f t="shared" si="17"/>
        <v>137445</v>
      </c>
      <c r="V10" s="7">
        <f>S10+T10-U10</f>
        <v>4535685</v>
      </c>
      <c r="W10" s="7">
        <f t="shared" si="9"/>
        <v>4535685</v>
      </c>
      <c r="X10" s="7">
        <f t="shared" si="10"/>
        <v>0</v>
      </c>
      <c r="Y10" s="7">
        <f t="shared" si="11"/>
        <v>0</v>
      </c>
      <c r="AA10" s="126">
        <f t="shared" si="3"/>
        <v>0</v>
      </c>
      <c r="AC10" s="102" t="s">
        <v>13</v>
      </c>
      <c r="AD10" s="6">
        <f t="shared" si="4"/>
        <v>1492260</v>
      </c>
      <c r="AE10" s="6">
        <f t="shared" si="12"/>
        <v>746130</v>
      </c>
      <c r="AF10" s="6">
        <f t="shared" si="13"/>
        <v>746130</v>
      </c>
      <c r="AG10" s="1"/>
      <c r="AI10" s="102" t="s">
        <v>13</v>
      </c>
      <c r="AJ10" s="6">
        <f t="shared" si="14"/>
        <v>137445</v>
      </c>
      <c r="AK10" s="6">
        <f t="shared" ref="AK10:AK18" si="19">AJ9</f>
        <v>138425</v>
      </c>
    </row>
    <row r="11" spans="1:37" ht="16.5" customHeight="1" x14ac:dyDescent="0.25">
      <c r="D11" s="93" t="s">
        <v>14</v>
      </c>
      <c r="E11" s="3">
        <v>11290</v>
      </c>
      <c r="F11" s="60">
        <f t="shared" si="0"/>
        <v>700</v>
      </c>
      <c r="G11" s="5">
        <f t="shared" si="5"/>
        <v>7903000</v>
      </c>
      <c r="H11" s="53">
        <f t="shared" si="6"/>
        <v>1501570</v>
      </c>
      <c r="I11" s="5">
        <f t="shared" si="7"/>
        <v>9404570</v>
      </c>
      <c r="J11" s="5">
        <f t="shared" si="8"/>
        <v>7993884.5</v>
      </c>
      <c r="K11" s="5">
        <f t="shared" si="15"/>
        <v>1410685.5</v>
      </c>
      <c r="L11" s="5">
        <f t="shared" si="16"/>
        <v>1401939</v>
      </c>
      <c r="M11" s="13"/>
      <c r="N11" s="120">
        <f t="shared" si="1"/>
        <v>3951500</v>
      </c>
      <c r="O11" s="13"/>
      <c r="P11" s="102" t="s">
        <v>14</v>
      </c>
      <c r="Q11" s="1">
        <v>11320</v>
      </c>
      <c r="R11" s="60">
        <f t="shared" si="2"/>
        <v>350</v>
      </c>
      <c r="S11" s="6">
        <f>R11*Q11</f>
        <v>3962000</v>
      </c>
      <c r="T11" s="6">
        <f t="shared" ref="T11:T18" si="20">S11*$T$5</f>
        <v>752780</v>
      </c>
      <c r="U11" s="7">
        <f t="shared" si="17"/>
        <v>138670</v>
      </c>
      <c r="V11" s="7">
        <f t="shared" ref="V11:V18" si="21">S11+T11-U11</f>
        <v>4576110</v>
      </c>
      <c r="W11" s="7">
        <f t="shared" si="9"/>
        <v>4576110</v>
      </c>
      <c r="X11" s="7">
        <f t="shared" si="10"/>
        <v>0</v>
      </c>
      <c r="Y11" s="7">
        <f t="shared" si="11"/>
        <v>0</v>
      </c>
      <c r="AA11" s="126">
        <f t="shared" si="3"/>
        <v>10500</v>
      </c>
      <c r="AC11" s="102" t="s">
        <v>14</v>
      </c>
      <c r="AD11" s="6">
        <f t="shared" si="4"/>
        <v>1501570</v>
      </c>
      <c r="AE11" s="6">
        <f t="shared" si="12"/>
        <v>752780</v>
      </c>
      <c r="AF11" s="6">
        <f t="shared" si="13"/>
        <v>748790</v>
      </c>
      <c r="AG11" s="6">
        <f>AF10+AF9</f>
        <v>1496250</v>
      </c>
      <c r="AI11" s="102" t="s">
        <v>14</v>
      </c>
      <c r="AJ11" s="6">
        <f t="shared" si="14"/>
        <v>138670</v>
      </c>
      <c r="AK11" s="6">
        <f t="shared" si="19"/>
        <v>137445</v>
      </c>
    </row>
    <row r="12" spans="1:37" ht="16.5" customHeight="1" x14ac:dyDescent="0.25">
      <c r="D12" s="93" t="s">
        <v>15</v>
      </c>
      <c r="E12" s="3">
        <v>11260</v>
      </c>
      <c r="F12" s="60">
        <f t="shared" si="0"/>
        <v>700</v>
      </c>
      <c r="G12" s="5">
        <f t="shared" si="5"/>
        <v>7882000</v>
      </c>
      <c r="H12" s="53">
        <f t="shared" si="6"/>
        <v>1497580</v>
      </c>
      <c r="I12" s="5">
        <f t="shared" si="7"/>
        <v>9379580</v>
      </c>
      <c r="J12" s="5">
        <f t="shared" si="8"/>
        <v>7972643</v>
      </c>
      <c r="K12" s="5">
        <f t="shared" si="15"/>
        <v>1406937</v>
      </c>
      <c r="L12" s="5">
        <f t="shared" si="16"/>
        <v>1410685.5</v>
      </c>
      <c r="M12" s="13"/>
      <c r="N12" s="120">
        <f t="shared" si="1"/>
        <v>3941000</v>
      </c>
      <c r="O12" s="13"/>
      <c r="P12" s="102" t="s">
        <v>15</v>
      </c>
      <c r="Q12" s="1">
        <v>11250</v>
      </c>
      <c r="R12" s="60">
        <f t="shared" si="2"/>
        <v>350</v>
      </c>
      <c r="S12" s="6">
        <f t="shared" si="18"/>
        <v>3937500</v>
      </c>
      <c r="T12" s="6">
        <f t="shared" si="20"/>
        <v>748125</v>
      </c>
      <c r="U12" s="7">
        <f t="shared" si="17"/>
        <v>137812.5</v>
      </c>
      <c r="V12" s="7">
        <f t="shared" si="21"/>
        <v>4547812.5</v>
      </c>
      <c r="W12" s="7">
        <f t="shared" si="9"/>
        <v>4547812.5</v>
      </c>
      <c r="X12" s="7">
        <f t="shared" si="10"/>
        <v>0</v>
      </c>
      <c r="Y12" s="7">
        <f t="shared" si="11"/>
        <v>0</v>
      </c>
      <c r="AA12" s="126">
        <f t="shared" si="3"/>
        <v>-3500</v>
      </c>
      <c r="AC12" s="102" t="s">
        <v>15</v>
      </c>
      <c r="AD12" s="6">
        <f t="shared" si="4"/>
        <v>1497580</v>
      </c>
      <c r="AE12" s="6">
        <f t="shared" si="12"/>
        <v>748125</v>
      </c>
      <c r="AF12" s="6">
        <f t="shared" si="13"/>
        <v>749455</v>
      </c>
      <c r="AG12" s="1"/>
      <c r="AI12" s="102" t="s">
        <v>15</v>
      </c>
      <c r="AJ12" s="6">
        <f t="shared" si="14"/>
        <v>137812.5</v>
      </c>
      <c r="AK12" s="6">
        <f t="shared" si="19"/>
        <v>138670</v>
      </c>
    </row>
    <row r="13" spans="1:37" ht="16.5" customHeight="1" x14ac:dyDescent="0.25">
      <c r="D13" s="93" t="s">
        <v>16</v>
      </c>
      <c r="E13" s="3">
        <v>11400</v>
      </c>
      <c r="F13" s="60">
        <f t="shared" si="0"/>
        <v>700</v>
      </c>
      <c r="G13" s="5">
        <f t="shared" si="5"/>
        <v>7980000</v>
      </c>
      <c r="H13" s="53">
        <f t="shared" si="6"/>
        <v>1516200</v>
      </c>
      <c r="I13" s="5">
        <f t="shared" si="7"/>
        <v>9496200</v>
      </c>
      <c r="J13" s="5">
        <f t="shared" si="8"/>
        <v>8071770</v>
      </c>
      <c r="K13" s="5">
        <f t="shared" si="15"/>
        <v>1424430</v>
      </c>
      <c r="L13" s="5">
        <f t="shared" si="16"/>
        <v>1406937</v>
      </c>
      <c r="M13" s="13"/>
      <c r="N13" s="120">
        <f t="shared" si="1"/>
        <v>3990000</v>
      </c>
      <c r="O13" s="13"/>
      <c r="P13" s="102" t="s">
        <v>16</v>
      </c>
      <c r="Q13" s="1">
        <v>11400</v>
      </c>
      <c r="R13" s="60">
        <f t="shared" si="2"/>
        <v>350</v>
      </c>
      <c r="S13" s="6">
        <f t="shared" si="18"/>
        <v>3990000</v>
      </c>
      <c r="T13" s="6">
        <f t="shared" si="20"/>
        <v>758100</v>
      </c>
      <c r="U13" s="7">
        <f t="shared" si="17"/>
        <v>139650</v>
      </c>
      <c r="V13" s="7">
        <f t="shared" si="21"/>
        <v>4608450</v>
      </c>
      <c r="W13" s="7">
        <f t="shared" si="9"/>
        <v>4608450</v>
      </c>
      <c r="X13" s="7">
        <f t="shared" si="10"/>
        <v>0</v>
      </c>
      <c r="Y13" s="7">
        <f t="shared" si="11"/>
        <v>0</v>
      </c>
      <c r="AA13" s="126">
        <f t="shared" si="3"/>
        <v>0</v>
      </c>
      <c r="AC13" s="102" t="s">
        <v>16</v>
      </c>
      <c r="AD13" s="6">
        <f t="shared" si="4"/>
        <v>1516200</v>
      </c>
      <c r="AE13" s="6">
        <f t="shared" si="12"/>
        <v>758100</v>
      </c>
      <c r="AF13" s="6">
        <f t="shared" si="13"/>
        <v>758100</v>
      </c>
      <c r="AG13" s="6">
        <f>AF11+AF12</f>
        <v>1498245</v>
      </c>
      <c r="AI13" s="102" t="s">
        <v>16</v>
      </c>
      <c r="AJ13" s="6">
        <f t="shared" si="14"/>
        <v>139650</v>
      </c>
      <c r="AK13" s="6">
        <f t="shared" si="19"/>
        <v>137812.5</v>
      </c>
    </row>
    <row r="14" spans="1:37" ht="16.5" customHeight="1" x14ac:dyDescent="0.25">
      <c r="D14" s="93" t="s">
        <v>17</v>
      </c>
      <c r="E14" s="3">
        <v>11200</v>
      </c>
      <c r="F14" s="60">
        <f t="shared" si="0"/>
        <v>700</v>
      </c>
      <c r="G14" s="5">
        <f t="shared" si="5"/>
        <v>7840000</v>
      </c>
      <c r="H14" s="53">
        <f t="shared" si="6"/>
        <v>1489600</v>
      </c>
      <c r="I14" s="5">
        <f t="shared" si="7"/>
        <v>9329600</v>
      </c>
      <c r="J14" s="5">
        <f t="shared" si="8"/>
        <v>7930160</v>
      </c>
      <c r="K14" s="5">
        <f t="shared" si="15"/>
        <v>1399440</v>
      </c>
      <c r="L14" s="5">
        <f t="shared" si="16"/>
        <v>1424430</v>
      </c>
      <c r="M14" s="13"/>
      <c r="N14" s="120">
        <f t="shared" si="1"/>
        <v>3920000</v>
      </c>
      <c r="O14" s="13"/>
      <c r="P14" s="102" t="s">
        <v>17</v>
      </c>
      <c r="Q14" s="1">
        <v>11200</v>
      </c>
      <c r="R14" s="60">
        <f t="shared" si="2"/>
        <v>350</v>
      </c>
      <c r="S14" s="6">
        <f t="shared" si="18"/>
        <v>3920000</v>
      </c>
      <c r="T14" s="6">
        <f t="shared" si="20"/>
        <v>744800</v>
      </c>
      <c r="U14" s="7">
        <f t="shared" si="17"/>
        <v>137200</v>
      </c>
      <c r="V14" s="7">
        <f t="shared" si="21"/>
        <v>4527600</v>
      </c>
      <c r="W14" s="7">
        <f t="shared" si="9"/>
        <v>4527600</v>
      </c>
      <c r="X14" s="7">
        <f t="shared" si="10"/>
        <v>0</v>
      </c>
      <c r="Y14" s="7">
        <f t="shared" si="11"/>
        <v>0</v>
      </c>
      <c r="AA14" s="126">
        <f t="shared" si="3"/>
        <v>0</v>
      </c>
      <c r="AC14" s="102" t="s">
        <v>17</v>
      </c>
      <c r="AD14" s="6">
        <f t="shared" si="4"/>
        <v>1489600</v>
      </c>
      <c r="AE14" s="6">
        <f t="shared" si="12"/>
        <v>744800</v>
      </c>
      <c r="AF14" s="6">
        <f t="shared" si="13"/>
        <v>744800</v>
      </c>
      <c r="AG14" s="1"/>
      <c r="AI14" s="102" t="s">
        <v>17</v>
      </c>
      <c r="AJ14" s="6">
        <f t="shared" si="14"/>
        <v>137200</v>
      </c>
      <c r="AK14" s="6">
        <f t="shared" si="19"/>
        <v>139650</v>
      </c>
    </row>
    <row r="15" spans="1:37" ht="32.25" customHeight="1" x14ac:dyDescent="0.25">
      <c r="D15" s="93" t="s">
        <v>18</v>
      </c>
      <c r="E15" s="3">
        <v>11150</v>
      </c>
      <c r="F15" s="60">
        <f t="shared" si="0"/>
        <v>700</v>
      </c>
      <c r="G15" s="5">
        <f t="shared" si="5"/>
        <v>7805000</v>
      </c>
      <c r="H15" s="53">
        <f t="shared" si="6"/>
        <v>1482950</v>
      </c>
      <c r="I15" s="5">
        <f t="shared" si="7"/>
        <v>9287950</v>
      </c>
      <c r="J15" s="5">
        <f t="shared" si="8"/>
        <v>7894757.5</v>
      </c>
      <c r="K15" s="5">
        <f t="shared" si="15"/>
        <v>1393192.5</v>
      </c>
      <c r="L15" s="5">
        <f t="shared" si="16"/>
        <v>1399440</v>
      </c>
      <c r="M15" s="13"/>
      <c r="N15" s="120">
        <f t="shared" si="1"/>
        <v>3902500</v>
      </c>
      <c r="O15" s="13"/>
      <c r="P15" s="102" t="s">
        <v>18</v>
      </c>
      <c r="Q15" s="1">
        <v>11100</v>
      </c>
      <c r="R15" s="60">
        <f t="shared" si="2"/>
        <v>350</v>
      </c>
      <c r="S15" s="6">
        <f t="shared" si="18"/>
        <v>3885000</v>
      </c>
      <c r="T15" s="6">
        <f t="shared" si="20"/>
        <v>738150</v>
      </c>
      <c r="U15" s="7">
        <f t="shared" si="17"/>
        <v>135975</v>
      </c>
      <c r="V15" s="7">
        <f t="shared" si="21"/>
        <v>4487175</v>
      </c>
      <c r="W15" s="7">
        <f t="shared" si="9"/>
        <v>4487175</v>
      </c>
      <c r="X15" s="7">
        <f t="shared" si="10"/>
        <v>0</v>
      </c>
      <c r="Y15" s="7">
        <f t="shared" si="11"/>
        <v>0</v>
      </c>
      <c r="AA15" s="126">
        <f t="shared" si="3"/>
        <v>-17500</v>
      </c>
      <c r="AC15" s="102" t="s">
        <v>18</v>
      </c>
      <c r="AD15" s="6">
        <f t="shared" si="4"/>
        <v>1482950</v>
      </c>
      <c r="AE15" s="6">
        <f t="shared" si="12"/>
        <v>738150</v>
      </c>
      <c r="AF15" s="6">
        <f t="shared" si="13"/>
        <v>744800</v>
      </c>
      <c r="AG15" s="6">
        <f>AF14+AF13</f>
        <v>1502900</v>
      </c>
      <c r="AI15" s="102" t="s">
        <v>18</v>
      </c>
      <c r="AJ15" s="6">
        <f t="shared" si="14"/>
        <v>135975</v>
      </c>
      <c r="AK15" s="6">
        <f t="shared" si="19"/>
        <v>137200</v>
      </c>
    </row>
    <row r="16" spans="1:37" ht="16.5" customHeight="1" x14ac:dyDescent="0.25">
      <c r="D16" s="93" t="s">
        <v>19</v>
      </c>
      <c r="E16" s="3">
        <v>11120</v>
      </c>
      <c r="F16" s="60">
        <f t="shared" si="0"/>
        <v>700</v>
      </c>
      <c r="G16" s="5">
        <f t="shared" si="5"/>
        <v>7784000</v>
      </c>
      <c r="H16" s="53">
        <f t="shared" si="6"/>
        <v>1478960</v>
      </c>
      <c r="I16" s="5">
        <f t="shared" si="7"/>
        <v>9262960</v>
      </c>
      <c r="J16" s="5">
        <f t="shared" si="8"/>
        <v>7873516</v>
      </c>
      <c r="K16" s="5">
        <f t="shared" si="15"/>
        <v>1389444</v>
      </c>
      <c r="L16" s="5">
        <f t="shared" si="16"/>
        <v>1393192.5</v>
      </c>
      <c r="M16" s="13"/>
      <c r="N16" s="120">
        <f t="shared" si="1"/>
        <v>3892000</v>
      </c>
      <c r="O16" s="13"/>
      <c r="P16" s="102" t="s">
        <v>19</v>
      </c>
      <c r="Q16" s="1">
        <v>11120</v>
      </c>
      <c r="R16" s="60">
        <f t="shared" si="2"/>
        <v>350</v>
      </c>
      <c r="S16" s="6">
        <f t="shared" si="18"/>
        <v>3892000</v>
      </c>
      <c r="T16" s="6">
        <f t="shared" si="20"/>
        <v>739480</v>
      </c>
      <c r="U16" s="7">
        <f t="shared" si="17"/>
        <v>136220</v>
      </c>
      <c r="V16" s="7">
        <f t="shared" si="21"/>
        <v>4495260</v>
      </c>
      <c r="W16" s="7">
        <f t="shared" si="9"/>
        <v>4495260</v>
      </c>
      <c r="X16" s="7">
        <f t="shared" si="10"/>
        <v>0</v>
      </c>
      <c r="Y16" s="7">
        <f t="shared" si="11"/>
        <v>0</v>
      </c>
      <c r="AA16" s="126">
        <f t="shared" si="3"/>
        <v>0</v>
      </c>
      <c r="AC16" s="102" t="s">
        <v>19</v>
      </c>
      <c r="AD16" s="6">
        <f t="shared" si="4"/>
        <v>1478960</v>
      </c>
      <c r="AE16" s="6">
        <f t="shared" si="12"/>
        <v>739480</v>
      </c>
      <c r="AF16" s="6">
        <f t="shared" si="13"/>
        <v>739480</v>
      </c>
      <c r="AG16" s="1"/>
      <c r="AI16" s="102" t="s">
        <v>19</v>
      </c>
      <c r="AJ16" s="6">
        <f t="shared" si="14"/>
        <v>136220</v>
      </c>
      <c r="AK16" s="6">
        <f t="shared" si="19"/>
        <v>135975</v>
      </c>
    </row>
    <row r="17" spans="1:37" ht="35.25" customHeight="1" x14ac:dyDescent="0.25">
      <c r="D17" s="93" t="s">
        <v>20</v>
      </c>
      <c r="E17" s="3">
        <v>11150</v>
      </c>
      <c r="F17" s="60">
        <f t="shared" si="0"/>
        <v>700</v>
      </c>
      <c r="G17" s="5">
        <f t="shared" si="5"/>
        <v>7805000</v>
      </c>
      <c r="H17" s="53">
        <f t="shared" si="6"/>
        <v>1482950</v>
      </c>
      <c r="I17" s="5">
        <f t="shared" si="7"/>
        <v>9287950</v>
      </c>
      <c r="J17" s="5">
        <f t="shared" si="8"/>
        <v>7894757.5</v>
      </c>
      <c r="K17" s="5">
        <f t="shared" si="15"/>
        <v>1393192.5</v>
      </c>
      <c r="L17" s="5">
        <f t="shared" si="16"/>
        <v>1389444</v>
      </c>
      <c r="M17" s="13"/>
      <c r="N17" s="120">
        <f t="shared" si="1"/>
        <v>3902500</v>
      </c>
      <c r="O17" s="13"/>
      <c r="P17" s="102" t="s">
        <v>20</v>
      </c>
      <c r="Q17" s="1">
        <v>11150</v>
      </c>
      <c r="R17" s="60">
        <f t="shared" si="2"/>
        <v>350</v>
      </c>
      <c r="S17" s="6">
        <f t="shared" si="18"/>
        <v>3902500</v>
      </c>
      <c r="T17" s="6">
        <f t="shared" si="20"/>
        <v>741475</v>
      </c>
      <c r="U17" s="7">
        <f t="shared" si="17"/>
        <v>136587.5</v>
      </c>
      <c r="V17" s="7">
        <f t="shared" si="21"/>
        <v>4507387.5</v>
      </c>
      <c r="W17" s="7">
        <f t="shared" si="9"/>
        <v>4507387.5</v>
      </c>
      <c r="X17" s="7">
        <f t="shared" si="10"/>
        <v>0</v>
      </c>
      <c r="Y17" s="7">
        <f t="shared" si="11"/>
        <v>0</v>
      </c>
      <c r="AA17" s="126">
        <f t="shared" si="3"/>
        <v>0</v>
      </c>
      <c r="AC17" s="102" t="s">
        <v>20</v>
      </c>
      <c r="AD17" s="6">
        <f t="shared" si="4"/>
        <v>1482950</v>
      </c>
      <c r="AE17" s="6">
        <f t="shared" si="12"/>
        <v>741475</v>
      </c>
      <c r="AF17" s="6">
        <f t="shared" si="13"/>
        <v>741475</v>
      </c>
      <c r="AG17" s="6">
        <f>AF16+AF15</f>
        <v>1484280</v>
      </c>
      <c r="AI17" s="102" t="s">
        <v>20</v>
      </c>
      <c r="AJ17" s="6">
        <f t="shared" si="14"/>
        <v>136587.5</v>
      </c>
      <c r="AK17" s="6">
        <f t="shared" si="19"/>
        <v>136220</v>
      </c>
    </row>
    <row r="18" spans="1:37" ht="16.5" customHeight="1" thickBot="1" x14ac:dyDescent="0.3">
      <c r="A18" s="77"/>
      <c r="D18" s="93" t="s">
        <v>21</v>
      </c>
      <c r="E18" s="3">
        <v>11200</v>
      </c>
      <c r="F18" s="60">
        <f t="shared" si="0"/>
        <v>700</v>
      </c>
      <c r="G18" s="5">
        <f t="shared" si="5"/>
        <v>7840000</v>
      </c>
      <c r="H18" s="53">
        <f t="shared" si="6"/>
        <v>1489600</v>
      </c>
      <c r="I18" s="5">
        <f t="shared" si="7"/>
        <v>9329600</v>
      </c>
      <c r="J18" s="5">
        <f t="shared" si="8"/>
        <v>7930160</v>
      </c>
      <c r="K18" s="5">
        <f t="shared" si="15"/>
        <v>1399440</v>
      </c>
      <c r="L18" s="5">
        <f t="shared" si="16"/>
        <v>1393192.5</v>
      </c>
      <c r="M18" s="13"/>
      <c r="N18" s="120">
        <f t="shared" si="1"/>
        <v>3920000</v>
      </c>
      <c r="O18" s="13"/>
      <c r="P18" s="102" t="s">
        <v>21</v>
      </c>
      <c r="Q18" s="1">
        <v>11200</v>
      </c>
      <c r="R18" s="60">
        <f t="shared" si="2"/>
        <v>350</v>
      </c>
      <c r="S18" s="6">
        <f t="shared" si="18"/>
        <v>3920000</v>
      </c>
      <c r="T18" s="6">
        <f t="shared" si="20"/>
        <v>744800</v>
      </c>
      <c r="U18" s="7">
        <f t="shared" si="17"/>
        <v>137200</v>
      </c>
      <c r="V18" s="7">
        <f t="shared" si="21"/>
        <v>4527600</v>
      </c>
      <c r="W18" s="7">
        <f t="shared" si="9"/>
        <v>4527600</v>
      </c>
      <c r="X18" s="7">
        <f t="shared" si="10"/>
        <v>0</v>
      </c>
      <c r="Y18" s="7">
        <f t="shared" si="11"/>
        <v>0</v>
      </c>
      <c r="AA18" s="127">
        <f t="shared" si="3"/>
        <v>0</v>
      </c>
      <c r="AC18" s="102" t="s">
        <v>21</v>
      </c>
      <c r="AD18" s="6">
        <f t="shared" si="4"/>
        <v>1489600</v>
      </c>
      <c r="AE18" s="6">
        <f t="shared" si="12"/>
        <v>744800</v>
      </c>
      <c r="AF18" s="6">
        <f t="shared" si="13"/>
        <v>744800</v>
      </c>
      <c r="AG18" s="1"/>
      <c r="AI18" s="102" t="s">
        <v>21</v>
      </c>
      <c r="AJ18" s="6">
        <f t="shared" si="14"/>
        <v>137200</v>
      </c>
      <c r="AK18" s="6">
        <f t="shared" si="19"/>
        <v>136587.5</v>
      </c>
    </row>
    <row r="19" spans="1:37" ht="16.5" customHeight="1" x14ac:dyDescent="0.25">
      <c r="D19" s="93" t="s">
        <v>10</v>
      </c>
      <c r="E19" s="12"/>
      <c r="F19" s="17"/>
      <c r="G19" s="13"/>
      <c r="H19" s="18"/>
      <c r="I19" s="13"/>
      <c r="J19" s="13"/>
      <c r="K19" s="13"/>
      <c r="L19" s="5">
        <f t="shared" si="16"/>
        <v>1399440</v>
      </c>
      <c r="M19" s="13"/>
      <c r="N19" s="120"/>
      <c r="O19" s="13"/>
      <c r="P19" s="102" t="s">
        <v>10</v>
      </c>
      <c r="Q19" s="19"/>
      <c r="R19" s="20"/>
      <c r="S19" s="21"/>
      <c r="T19" s="21"/>
      <c r="U19" s="7"/>
      <c r="V19" s="22"/>
      <c r="W19" s="22"/>
      <c r="X19" s="22"/>
      <c r="Y19" s="7"/>
      <c r="AC19" s="102" t="s">
        <v>10</v>
      </c>
      <c r="AG19" s="6">
        <f>AF18+AF17</f>
        <v>1486275</v>
      </c>
      <c r="AI19" s="102" t="s">
        <v>10</v>
      </c>
      <c r="AK19" s="6">
        <f>AJ18</f>
        <v>137200</v>
      </c>
    </row>
    <row r="20" spans="1:37" ht="16.5" customHeight="1" thickBot="1" x14ac:dyDescent="0.3">
      <c r="D20" s="93" t="s">
        <v>11</v>
      </c>
      <c r="E20" s="12"/>
      <c r="F20" s="17"/>
      <c r="G20" s="13"/>
      <c r="H20" s="18"/>
      <c r="I20" s="13"/>
      <c r="J20" s="13"/>
      <c r="K20" s="13"/>
      <c r="L20" s="119"/>
      <c r="M20" s="13"/>
      <c r="N20" s="120"/>
      <c r="O20" s="13"/>
      <c r="P20" s="13"/>
      <c r="Q20" s="19"/>
      <c r="R20" s="20"/>
      <c r="S20" s="21"/>
      <c r="T20" s="21"/>
      <c r="U20" s="22"/>
      <c r="V20" s="22"/>
      <c r="W20" s="22"/>
      <c r="X20" s="22"/>
      <c r="Y20" s="22"/>
      <c r="AC20" s="19"/>
      <c r="AG20" s="21"/>
      <c r="AI20" s="19"/>
      <c r="AK20" s="21"/>
    </row>
    <row r="21" spans="1:37" x14ac:dyDescent="0.25">
      <c r="D21" s="103"/>
      <c r="F21" s="128" t="s">
        <v>22</v>
      </c>
      <c r="G21" s="129">
        <f>SUM(G7:G18)</f>
        <v>94381000</v>
      </c>
      <c r="H21" s="129">
        <f t="shared" ref="H21:I21" si="22">SUM(H7:H18)</f>
        <v>17932390</v>
      </c>
      <c r="I21" s="129">
        <f t="shared" si="22"/>
        <v>112313390</v>
      </c>
      <c r="J21" s="129">
        <f>SUM(J7:J18)</f>
        <v>95466381.5</v>
      </c>
      <c r="K21" s="129">
        <f>SUM(K7:K18)</f>
        <v>16847008.5</v>
      </c>
      <c r="L21" s="130">
        <f>SUM(L7:L18)</f>
        <v>15447568.5</v>
      </c>
      <c r="M21" s="8"/>
      <c r="N21" s="7">
        <f>SUM(N7:N18)</f>
        <v>47190500</v>
      </c>
      <c r="O21" s="8"/>
      <c r="P21" s="8"/>
      <c r="R21" s="128" t="s">
        <v>22</v>
      </c>
      <c r="S21" s="129">
        <f>SUM(S7:S18)</f>
        <v>47190500</v>
      </c>
      <c r="T21" s="129">
        <f t="shared" ref="T21:Y21" si="23">SUM(T7:T18)</f>
        <v>8966195</v>
      </c>
      <c r="U21" s="129">
        <f>SUM(U7:U18)</f>
        <v>1651667.5</v>
      </c>
      <c r="V21" s="129">
        <f t="shared" si="23"/>
        <v>54505027.5</v>
      </c>
      <c r="W21" s="130">
        <f t="shared" si="23"/>
        <v>54505027.5</v>
      </c>
      <c r="X21" s="129">
        <f t="shared" ref="X21" si="24">SUM(X7:X18)</f>
        <v>0</v>
      </c>
      <c r="Y21" s="130">
        <f t="shared" si="23"/>
        <v>0</v>
      </c>
    </row>
    <row r="22" spans="1:37" ht="15.75" thickBot="1" x14ac:dyDescent="0.3">
      <c r="D22" s="104"/>
      <c r="F22" s="131" t="s">
        <v>23</v>
      </c>
      <c r="G22" s="132">
        <f>AVERAGE(G7:G18)</f>
        <v>7865083.333333333</v>
      </c>
      <c r="H22" s="132">
        <f t="shared" ref="H22:I22" si="25">AVERAGE(H7:H18)</f>
        <v>1494365.8333333333</v>
      </c>
      <c r="I22" s="132">
        <f t="shared" si="25"/>
        <v>9359449.166666666</v>
      </c>
      <c r="J22" s="132">
        <f>AVERAGE(J7:J18)</f>
        <v>7955531.791666667</v>
      </c>
      <c r="K22" s="132">
        <f>AVERAGE(K7:K18)</f>
        <v>1403917.375</v>
      </c>
      <c r="L22" s="133">
        <f>AVERAGE(L7:L18)</f>
        <v>1404324.4090909092</v>
      </c>
      <c r="M22" s="8"/>
      <c r="N22" s="8"/>
      <c r="O22" s="8"/>
      <c r="P22" s="8"/>
      <c r="R22" s="131" t="s">
        <v>23</v>
      </c>
      <c r="S22" s="132">
        <f>AVERAGE(S7:S18)</f>
        <v>3932541.6666666665</v>
      </c>
      <c r="T22" s="132">
        <f t="shared" ref="T22:Y22" si="26">AVERAGE(T7:T18)</f>
        <v>747182.91666666663</v>
      </c>
      <c r="U22" s="132">
        <f>AVERAGE(U7:U18)</f>
        <v>137638.95833333334</v>
      </c>
      <c r="V22" s="132">
        <f t="shared" si="26"/>
        <v>4542085.625</v>
      </c>
      <c r="W22" s="133">
        <f>AVERAGE(W7:W18)</f>
        <v>4542085.625</v>
      </c>
      <c r="X22" s="132">
        <f>AVERAGE(X7:X18)</f>
        <v>0</v>
      </c>
      <c r="Y22" s="133">
        <f t="shared" si="26"/>
        <v>0</v>
      </c>
    </row>
    <row r="23" spans="1:37" x14ac:dyDescent="0.25">
      <c r="L23" s="8"/>
    </row>
    <row r="24" spans="1:37" x14ac:dyDescent="0.25">
      <c r="M24" s="8"/>
    </row>
  </sheetData>
  <mergeCells count="9">
    <mergeCell ref="AI2:AK4"/>
    <mergeCell ref="AC5:AG5"/>
    <mergeCell ref="AI5:AK5"/>
    <mergeCell ref="AC2:AG4"/>
    <mergeCell ref="D2:L4"/>
    <mergeCell ref="P2:Y3"/>
    <mergeCell ref="P4:Y4"/>
    <mergeCell ref="D5:F5"/>
    <mergeCell ref="G5:I5"/>
  </mergeCells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3201-239B-4675-B6AD-CCCEE72B883B}">
  <dimension ref="B1:O20"/>
  <sheetViews>
    <sheetView tabSelected="1" zoomScale="60" zoomScaleNormal="60" workbookViewId="0">
      <selection activeCell="A20" sqref="A20"/>
    </sheetView>
  </sheetViews>
  <sheetFormatPr baseColWidth="10" defaultRowHeight="15" x14ac:dyDescent="0.25"/>
  <cols>
    <col min="1" max="1" width="11.42578125" style="52"/>
    <col min="2" max="2" width="32.42578125" style="52" customWidth="1"/>
    <col min="3" max="3" width="19.28515625" style="52" customWidth="1"/>
    <col min="4" max="4" width="19.42578125" style="52" customWidth="1"/>
    <col min="5" max="5" width="20.42578125" style="52" customWidth="1"/>
    <col min="6" max="6" width="20" style="52" customWidth="1"/>
    <col min="7" max="7" width="20.42578125" style="52" customWidth="1"/>
    <col min="8" max="9" width="19.5703125" style="52" customWidth="1"/>
    <col min="10" max="10" width="19.42578125" style="52" customWidth="1"/>
    <col min="11" max="11" width="20" style="52" customWidth="1"/>
    <col min="12" max="12" width="19.85546875" style="52" customWidth="1"/>
    <col min="13" max="13" width="19.140625" style="52" customWidth="1"/>
    <col min="14" max="14" width="20.42578125" style="52" customWidth="1"/>
    <col min="15" max="15" width="21.140625" style="52" customWidth="1"/>
    <col min="16" max="16384" width="11.42578125" style="52"/>
  </cols>
  <sheetData>
    <row r="1" spans="2:15" ht="15.75" thickBot="1" x14ac:dyDescent="0.3"/>
    <row r="2" spans="2:15" ht="15.75" thickBot="1" x14ac:dyDescent="0.3">
      <c r="C2" s="152" t="s">
        <v>145</v>
      </c>
      <c r="D2" s="153" t="s">
        <v>10</v>
      </c>
      <c r="E2" s="153" t="s">
        <v>11</v>
      </c>
      <c r="F2" s="153" t="s">
        <v>12</v>
      </c>
      <c r="G2" s="153" t="s">
        <v>13</v>
      </c>
      <c r="H2" s="153" t="s">
        <v>14</v>
      </c>
      <c r="I2" s="153" t="s">
        <v>15</v>
      </c>
      <c r="J2" s="153" t="s">
        <v>16</v>
      </c>
      <c r="K2" s="153" t="s">
        <v>17</v>
      </c>
      <c r="L2" s="153" t="s">
        <v>18</v>
      </c>
      <c r="M2" s="153" t="s">
        <v>19</v>
      </c>
      <c r="N2" s="153" t="s">
        <v>20</v>
      </c>
      <c r="O2" s="154" t="s">
        <v>21</v>
      </c>
    </row>
    <row r="3" spans="2:15" x14ac:dyDescent="0.25">
      <c r="B3" s="145" t="s">
        <v>132</v>
      </c>
      <c r="C3" s="155">
        <f>RESULTADOS!C48</f>
        <v>150000000</v>
      </c>
      <c r="D3" s="84">
        <f>RESULTADOS!C49</f>
        <v>160665114.29249999</v>
      </c>
      <c r="E3" s="84">
        <f>RESULTADOS!D49</f>
        <v>182801707.27499998</v>
      </c>
      <c r="F3" s="84">
        <f>RESULTADOS!E49</f>
        <v>189025392.77499998</v>
      </c>
      <c r="G3" s="84">
        <f>RESULTADOS!F49</f>
        <v>210452767.47499999</v>
      </c>
      <c r="H3" s="84">
        <f>RESULTADOS!G49</f>
        <v>217318386.05000001</v>
      </c>
      <c r="I3" s="84">
        <f>RESULTADOS!H49</f>
        <v>231620381.42500001</v>
      </c>
      <c r="J3" s="84">
        <f>RESULTADOS!I49</f>
        <v>238930623.11250001</v>
      </c>
      <c r="K3" s="84">
        <f>RESULTADOS!J49</f>
        <v>259046104.27500001</v>
      </c>
      <c r="L3" s="84">
        <f>RESULTADOS!K49</f>
        <v>265738280.17500001</v>
      </c>
      <c r="M3" s="84">
        <f>RESULTADOS!L49</f>
        <v>285700388.27500004</v>
      </c>
      <c r="N3" s="84">
        <f>RESULTADOS!M49</f>
        <v>292954506.5</v>
      </c>
      <c r="O3" s="156">
        <f>RESULTADOS!N49</f>
        <v>291959273.32999998</v>
      </c>
    </row>
    <row r="4" spans="2:15" x14ac:dyDescent="0.25">
      <c r="B4" s="146" t="s">
        <v>133</v>
      </c>
      <c r="C4" s="155"/>
      <c r="D4" s="84">
        <f>VLOOKUP(D2,'CONSOLIDADO DE COMPRAS Y VENTAS'!$A$25:$C$36,3,FALSE)</f>
        <v>12319051.657499999</v>
      </c>
      <c r="E4" s="84">
        <f>VLOOKUP(E2,'CONSOLIDADO DE COMPRAS Y VENTAS'!$A$25:$C$36,3,FALSE)</f>
        <v>12434836.575000003</v>
      </c>
      <c r="F4" s="84">
        <f>VLOOKUP(F2,'CONSOLIDADO DE COMPRAS Y VENTAS'!$A$25:$C$36,3,FALSE)</f>
        <v>11648026.425000004</v>
      </c>
      <c r="G4" s="84">
        <f>VLOOKUP(G2,'CONSOLIDADO DE COMPRAS Y VENTAS'!$A$25:$C$36,3,FALSE)</f>
        <v>12373486.125</v>
      </c>
      <c r="H4" s="84">
        <f>VLOOKUP(H2,'CONSOLIDADO DE COMPRAS Y VENTAS'!$A$25:$C$36,3,FALSE)</f>
        <v>11747923.950000003</v>
      </c>
      <c r="I4" s="84">
        <f>VLOOKUP(I2,'CONSOLIDADO DE COMPRAS Y VENTAS'!$A$25:$C$36,3,FALSE)</f>
        <v>11759106.975000001</v>
      </c>
      <c r="J4" s="84">
        <f>VLOOKUP(J2,'CONSOLIDADO DE COMPRAS Y VENTAS'!$A$25:$C$36,3,FALSE)</f>
        <v>11933505.9375</v>
      </c>
      <c r="K4" s="84">
        <f>VLOOKUP(K2,'CONSOLIDADO DE COMPRAS Y VENTAS'!$A$25:$C$36,3,FALSE)</f>
        <v>11871062.175000004</v>
      </c>
      <c r="L4" s="84">
        <f>VLOOKUP(L2,'CONSOLIDADO DE COMPRAS Y VENTAS'!$A$25:$C$36,3,FALSE)</f>
        <v>11785471.425000004</v>
      </c>
      <c r="M4" s="84">
        <f>VLOOKUP(M2,'CONSOLIDADO DE COMPRAS Y VENTAS'!$A$25:$C$36,3,FALSE)</f>
        <v>11884681.725000001</v>
      </c>
      <c r="N4" s="84">
        <f>VLOOKUP(N2,'CONSOLIDADO DE COMPRAS Y VENTAS'!$A$25:$C$36,3,FALSE)</f>
        <v>11926727.399999999</v>
      </c>
      <c r="O4" s="156">
        <f>VLOOKUP(O2,'CONSOLIDADO DE COMPRAS Y VENTAS'!$A$25:$C$36,3,FALSE)</f>
        <v>11983829.550000004</v>
      </c>
    </row>
    <row r="5" spans="2:15" x14ac:dyDescent="0.25">
      <c r="B5" s="146"/>
      <c r="C5" s="155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56"/>
    </row>
    <row r="6" spans="2:15" x14ac:dyDescent="0.25">
      <c r="B6" s="146" t="s">
        <v>134</v>
      </c>
      <c r="C6" s="155"/>
      <c r="D6" s="84">
        <f>VLOOKUP(D2,'CONSOLIDADO DE COMPRAS Y VENTAS'!$A$25:$D$36,4,FALSE)</f>
        <v>33040</v>
      </c>
      <c r="E6" s="84">
        <f>VLOOKUP(E2,'CONSOLIDADO DE COMPRAS Y VENTAS'!$A$25:$D$36,4,FALSE)</f>
        <v>58940</v>
      </c>
      <c r="F6" s="84">
        <f>VLOOKUP(F2,'CONSOLIDADO DE COMPRAS Y VENTAS'!$A$25:$D$36,4,FALSE)</f>
        <v>47040</v>
      </c>
      <c r="G6" s="84">
        <f>VLOOKUP(G2,'CONSOLIDADO DE COMPRAS Y VENTAS'!$A$25:$D$36,4,FALSE)</f>
        <v>28140</v>
      </c>
      <c r="H6" s="84">
        <f>VLOOKUP(H2,'CONSOLIDADO DE COMPRAS Y VENTAS'!$A$25:$D$36,4,FALSE)</f>
        <v>57540</v>
      </c>
      <c r="I6" s="84">
        <f>VLOOKUP(I2,'CONSOLIDADO DE COMPRAS Y VENTAS'!$A$25:$D$36,4,FALSE)</f>
        <v>163240</v>
      </c>
      <c r="J6" s="84">
        <f>VLOOKUP(J2,'CONSOLIDADO DE COMPRAS Y VENTAS'!$A$25:$D$36,4,FALSE)</f>
        <v>81690</v>
      </c>
      <c r="K6" s="84">
        <f>VLOOKUP(K2,'CONSOLIDADO DE COMPRAS Y VENTAS'!$A$25:$D$36,4,FALSE)</f>
        <v>66290</v>
      </c>
      <c r="L6" s="84">
        <f>VLOOKUP(L2,'CONSOLIDADO DE COMPRAS Y VENTAS'!$A$25:$D$36,4,FALSE)</f>
        <v>50190</v>
      </c>
      <c r="M6" s="84">
        <f>VLOOKUP(M2,'CONSOLIDADO DE COMPRAS Y VENTAS'!$A$25:$D$36,4,FALSE)</f>
        <v>29890</v>
      </c>
      <c r="N6" s="84">
        <f>VLOOKUP(N2,'CONSOLIDADO DE COMPRAS Y VENTAS'!$A$25:$D$36,4,FALSE)</f>
        <v>31290</v>
      </c>
      <c r="O6" s="156">
        <f>VLOOKUP(O2,'CONSOLIDADO DE COMPRAS Y VENTAS'!$A$25:$D$36,4,FALSE)</f>
        <v>1890</v>
      </c>
    </row>
    <row r="7" spans="2:15" ht="15.75" x14ac:dyDescent="0.25">
      <c r="B7" s="147" t="s">
        <v>135</v>
      </c>
      <c r="C7" s="157">
        <f>SUM(C3:C6)</f>
        <v>150000000</v>
      </c>
      <c r="D7" s="85">
        <f>SUM(D3:D6)</f>
        <v>173017205.94999999</v>
      </c>
      <c r="E7" s="85">
        <f t="shared" ref="E7:N7" si="0">SUM(E3:E6)</f>
        <v>195295483.84999996</v>
      </c>
      <c r="F7" s="85">
        <f t="shared" si="0"/>
        <v>200720459.19999999</v>
      </c>
      <c r="G7" s="85">
        <f t="shared" si="0"/>
        <v>222854393.59999999</v>
      </c>
      <c r="H7" s="85">
        <f t="shared" si="0"/>
        <v>229123850</v>
      </c>
      <c r="I7" s="85">
        <f t="shared" si="0"/>
        <v>243542728.40000001</v>
      </c>
      <c r="J7" s="85">
        <f t="shared" si="0"/>
        <v>250945819.05000001</v>
      </c>
      <c r="K7" s="85">
        <f t="shared" si="0"/>
        <v>270983456.44999999</v>
      </c>
      <c r="L7" s="85">
        <f t="shared" si="0"/>
        <v>277573941.60000002</v>
      </c>
      <c r="M7" s="85">
        <f t="shared" si="0"/>
        <v>297614960.00000006</v>
      </c>
      <c r="N7" s="85">
        <f t="shared" si="0"/>
        <v>304912523.89999998</v>
      </c>
      <c r="O7" s="158">
        <f>SUM(O3:O6)</f>
        <v>303944992.88</v>
      </c>
    </row>
    <row r="8" spans="2:15" x14ac:dyDescent="0.25">
      <c r="B8" s="146"/>
      <c r="C8" s="155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156"/>
    </row>
    <row r="9" spans="2:15" ht="15.75" x14ac:dyDescent="0.25">
      <c r="B9" s="147" t="s">
        <v>136</v>
      </c>
      <c r="C9" s="157">
        <f>SUM(C7:C8)</f>
        <v>150000000</v>
      </c>
      <c r="D9" s="85">
        <f>SUM(D7:D8)</f>
        <v>173017205.94999999</v>
      </c>
      <c r="E9" s="85">
        <f t="shared" ref="E9:O9" si="1">SUM(E7:E8)</f>
        <v>195295483.84999996</v>
      </c>
      <c r="F9" s="85">
        <f t="shared" si="1"/>
        <v>200720459.19999999</v>
      </c>
      <c r="G9" s="85">
        <f t="shared" si="1"/>
        <v>222854393.59999999</v>
      </c>
      <c r="H9" s="85">
        <f t="shared" si="1"/>
        <v>229123850</v>
      </c>
      <c r="I9" s="85">
        <f t="shared" si="1"/>
        <v>243542728.40000001</v>
      </c>
      <c r="J9" s="85">
        <f t="shared" si="1"/>
        <v>250945819.05000001</v>
      </c>
      <c r="K9" s="85">
        <f t="shared" si="1"/>
        <v>270983456.44999999</v>
      </c>
      <c r="L9" s="85">
        <f t="shared" si="1"/>
        <v>277573941.60000002</v>
      </c>
      <c r="M9" s="85">
        <f t="shared" si="1"/>
        <v>297614960.00000006</v>
      </c>
      <c r="N9" s="85">
        <f t="shared" si="1"/>
        <v>304912523.89999998</v>
      </c>
      <c r="O9" s="158">
        <f t="shared" si="1"/>
        <v>303944992.88</v>
      </c>
    </row>
    <row r="10" spans="2:15" x14ac:dyDescent="0.25">
      <c r="B10" s="148" t="s">
        <v>137</v>
      </c>
      <c r="C10" s="155"/>
      <c r="D10" s="84">
        <f>'Nomina-Operarios'!E53+'Nomina-Administradores'!E53</f>
        <v>2210527.4933333332</v>
      </c>
      <c r="E10" s="84">
        <f>'Nomina-Operarios'!F53+'Nomina-Administradores'!F53</f>
        <v>4421054.9866666663</v>
      </c>
      <c r="F10" s="84">
        <f>'Nomina-Operarios'!G53+'Nomina-Administradores'!G53</f>
        <v>6631582.4800000004</v>
      </c>
      <c r="G10" s="84">
        <f>'Nomina-Operarios'!H53+'Nomina-Administradores'!H53</f>
        <v>8842109.9733333327</v>
      </c>
      <c r="H10" s="84">
        <f>'Nomina-Operarios'!I53+'Nomina-Administradores'!I53</f>
        <v>11052637.466666667</v>
      </c>
      <c r="I10" s="84">
        <f>'Nomina-Operarios'!J53+'Nomina-Administradores'!J53</f>
        <v>8160256.96</v>
      </c>
      <c r="J10" s="84">
        <f>'Nomina-Operarios'!K53+'Nomina-Administradores'!K53</f>
        <v>10370784.453333333</v>
      </c>
      <c r="K10" s="84">
        <f>'Nomina-Operarios'!L53+'Nomina-Administradores'!L53</f>
        <v>12581311.946666665</v>
      </c>
      <c r="L10" s="84">
        <f>'Nomina-Operarios'!M53+'Nomina-Administradores'!M53</f>
        <v>14791839.439999999</v>
      </c>
      <c r="M10" s="84">
        <f>'Nomina-Operarios'!N53+'Nomina-Administradores'!N53</f>
        <v>17002366.933333334</v>
      </c>
      <c r="N10" s="84">
        <f>'Nomina-Operarios'!O53+'Nomina-Administradores'!O53</f>
        <v>19212894.426666666</v>
      </c>
      <c r="O10" s="156">
        <f>'Nomina-Operarios'!P53+'Nomina-Administradores'!P53</f>
        <v>0</v>
      </c>
    </row>
    <row r="11" spans="2:15" x14ac:dyDescent="0.25">
      <c r="B11" s="148" t="s">
        <v>138</v>
      </c>
      <c r="C11" s="155"/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156">
        <v>0</v>
      </c>
    </row>
    <row r="12" spans="2:15" x14ac:dyDescent="0.25">
      <c r="B12" s="148" t="s">
        <v>139</v>
      </c>
      <c r="C12" s="155"/>
      <c r="D12" s="84">
        <f>VLOOKUP(D2,'CONSOLIDADO IMPUESTOS'!$J$6:$K$17,2,FALSE)+RESULTADOS!C26</f>
        <v>12197620.7192</v>
      </c>
      <c r="E12" s="84">
        <f>VLOOKUP(E2,'CONSOLIDADO IMPUESTOS'!$J$6:$K$17,2,FALSE)+RESULTADOS!D26</f>
        <v>23423478.338400003</v>
      </c>
      <c r="F12" s="84">
        <f>VLOOKUP(F2,'CONSOLIDADO IMPUESTOS'!$J$6:$K$17,2,FALSE)+RESULTADOS!E26</f>
        <v>19559942.407600001</v>
      </c>
      <c r="G12" s="84">
        <f>VLOOKUP(G2,'CONSOLIDADO IMPUESTOS'!$J$6:$K$17,2,FALSE)+RESULTADOS!F26</f>
        <v>30753078.526800003</v>
      </c>
      <c r="H12" s="84">
        <f>VLOOKUP(H2,'CONSOLIDADO IMPUESTOS'!$J$6:$K$17,2,FALSE)+RESULTADOS!G26</f>
        <v>27516642.146000002</v>
      </c>
      <c r="I12" s="84">
        <f>VLOOKUP(I2,'CONSOLIDADO IMPUESTOS'!$J$6:$K$17,2,FALSE)+RESULTADOS!H26</f>
        <v>37526204.265200004</v>
      </c>
      <c r="J12" s="84">
        <f>VLOOKUP(J2,'CONSOLIDADO IMPUESTOS'!$J$6:$K$17,2,FALSE)+RESULTADOS!I26</f>
        <v>35038470.384399995</v>
      </c>
      <c r="K12" s="84">
        <f>VLOOKUP(K2,'CONSOLIDADO IMPUESTOS'!$J$6:$K$17,2,FALSE)+RESULTADOS!J26</f>
        <v>45281076.503600001</v>
      </c>
      <c r="L12" s="84">
        <f>VLOOKUP(L2,'CONSOLIDADO IMPUESTOS'!$J$6:$K$17,2,FALSE)+RESULTADOS!K26</f>
        <v>42292270.3728</v>
      </c>
      <c r="M12" s="84">
        <f>VLOOKUP(M2,'CONSOLIDADO IMPUESTOS'!$J$6:$K$17,2,FALSE)+RESULTADOS!L26</f>
        <v>52544354.491999999</v>
      </c>
      <c r="N12" s="84">
        <f>VLOOKUP(N2,'CONSOLIDADO IMPUESTOS'!$J$6:$K$17,2,FALSE)+RESULTADOS!M26</f>
        <v>49924243.611199997</v>
      </c>
      <c r="O12" s="156">
        <f>VLOOKUP(O2,'CONSOLIDADO IMPUESTOS'!$J$6:$K$17,2,FALSE)+RESULTADOS!N26</f>
        <v>60356465.730399996</v>
      </c>
    </row>
    <row r="13" spans="2:15" ht="15.75" x14ac:dyDescent="0.25">
      <c r="B13" s="149" t="s">
        <v>140</v>
      </c>
      <c r="C13" s="157">
        <f>SUM(C10:C12)</f>
        <v>0</v>
      </c>
      <c r="D13" s="85">
        <f>SUM(D10:D12)</f>
        <v>14408148.212533332</v>
      </c>
      <c r="E13" s="85">
        <f t="shared" ref="E13:O13" si="2">SUM(E10:E12)</f>
        <v>27844533.325066671</v>
      </c>
      <c r="F13" s="85">
        <f t="shared" si="2"/>
        <v>26191524.887600001</v>
      </c>
      <c r="G13" s="85">
        <f t="shared" si="2"/>
        <v>39595188.500133336</v>
      </c>
      <c r="H13" s="85">
        <f t="shared" si="2"/>
        <v>38569279.612666667</v>
      </c>
      <c r="I13" s="85">
        <f t="shared" si="2"/>
        <v>45686461.225200005</v>
      </c>
      <c r="J13" s="85">
        <f t="shared" si="2"/>
        <v>45409254.837733328</v>
      </c>
      <c r="K13" s="85">
        <f t="shared" si="2"/>
        <v>57862388.450266667</v>
      </c>
      <c r="L13" s="85">
        <f t="shared" si="2"/>
        <v>57084109.812799998</v>
      </c>
      <c r="M13" s="85">
        <f t="shared" si="2"/>
        <v>69546721.425333336</v>
      </c>
      <c r="N13" s="85">
        <f t="shared" si="2"/>
        <v>69137138.037866667</v>
      </c>
      <c r="O13" s="158">
        <f t="shared" si="2"/>
        <v>60356465.730399996</v>
      </c>
    </row>
    <row r="14" spans="2:15" x14ac:dyDescent="0.25">
      <c r="B14" s="150" t="s">
        <v>141</v>
      </c>
      <c r="C14" s="155">
        <f>C3</f>
        <v>150000000</v>
      </c>
      <c r="D14" s="84">
        <f>C14</f>
        <v>150000000</v>
      </c>
      <c r="E14" s="84">
        <f t="shared" ref="E14:O14" si="3">D14</f>
        <v>150000000</v>
      </c>
      <c r="F14" s="84">
        <f t="shared" si="3"/>
        <v>150000000</v>
      </c>
      <c r="G14" s="84">
        <f t="shared" si="3"/>
        <v>150000000</v>
      </c>
      <c r="H14" s="84">
        <f t="shared" si="3"/>
        <v>150000000</v>
      </c>
      <c r="I14" s="84">
        <f t="shared" si="3"/>
        <v>150000000</v>
      </c>
      <c r="J14" s="84">
        <f t="shared" si="3"/>
        <v>150000000</v>
      </c>
      <c r="K14" s="84">
        <f t="shared" si="3"/>
        <v>150000000</v>
      </c>
      <c r="L14" s="84">
        <f t="shared" si="3"/>
        <v>150000000</v>
      </c>
      <c r="M14" s="84">
        <f t="shared" si="3"/>
        <v>150000000</v>
      </c>
      <c r="N14" s="84">
        <f t="shared" si="3"/>
        <v>150000000</v>
      </c>
      <c r="O14" s="156">
        <f t="shared" si="3"/>
        <v>150000000</v>
      </c>
    </row>
    <row r="15" spans="2:15" x14ac:dyDescent="0.25">
      <c r="B15" s="150"/>
      <c r="C15" s="155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56"/>
    </row>
    <row r="16" spans="2:15" x14ac:dyDescent="0.25">
      <c r="B16" s="150" t="s">
        <v>142</v>
      </c>
      <c r="C16" s="155"/>
      <c r="D16" s="84">
        <f>RESULTADOS!C27</f>
        <v>8609057.7374666668</v>
      </c>
      <c r="E16" s="84">
        <f>RESULTADOS!D27</f>
        <v>17450950.524933331</v>
      </c>
      <c r="F16" s="84">
        <f>RESULTADOS!E27</f>
        <v>24528934.312399998</v>
      </c>
      <c r="G16" s="84">
        <f>RESULTADOS!F27</f>
        <v>33259205.099866666</v>
      </c>
      <c r="H16" s="84">
        <f>RESULTADOS!G27</f>
        <v>40554570.387333333</v>
      </c>
      <c r="I16" s="84">
        <f>RESULTADOS!H27</f>
        <v>47856267.174800001</v>
      </c>
      <c r="J16" s="84">
        <f>RESULTADOS!I27</f>
        <v>55536564.212266669</v>
      </c>
      <c r="K16" s="84">
        <f>RESULTADOS!J27</f>
        <v>63121067.999733336</v>
      </c>
      <c r="L16" s="84">
        <f>RESULTADOS!K27</f>
        <v>70489831.787200004</v>
      </c>
      <c r="M16" s="84">
        <f>RESULTADOS!L27</f>
        <v>78068238.574666664</v>
      </c>
      <c r="N16" s="84">
        <f>RESULTADOS!M27</f>
        <v>85775385.862133324</v>
      </c>
      <c r="O16" s="156">
        <f>RESULTADOS!N27</f>
        <v>93588527.149599984</v>
      </c>
    </row>
    <row r="17" spans="2:15" x14ac:dyDescent="0.25">
      <c r="B17" s="150" t="s">
        <v>143</v>
      </c>
      <c r="C17" s="155">
        <f>SUM(C14:C16)</f>
        <v>150000000</v>
      </c>
      <c r="D17" s="84">
        <f>SUM(D14:D16)</f>
        <v>158609057.73746666</v>
      </c>
      <c r="E17" s="84">
        <f>SUM(E14:E16)</f>
        <v>167450950.52493334</v>
      </c>
      <c r="F17" s="84">
        <f t="shared" ref="F17:O17" si="4">SUM(F14:F16)</f>
        <v>174528934.31239998</v>
      </c>
      <c r="G17" s="84">
        <f t="shared" si="4"/>
        <v>183259205.09986666</v>
      </c>
      <c r="H17" s="84">
        <f t="shared" si="4"/>
        <v>190554570.38733333</v>
      </c>
      <c r="I17" s="84">
        <f t="shared" si="4"/>
        <v>197856267.17480001</v>
      </c>
      <c r="J17" s="84">
        <f t="shared" si="4"/>
        <v>205536564.21226668</v>
      </c>
      <c r="K17" s="84">
        <f t="shared" si="4"/>
        <v>213121067.99973333</v>
      </c>
      <c r="L17" s="84">
        <f t="shared" si="4"/>
        <v>220489831.7872</v>
      </c>
      <c r="M17" s="84">
        <f t="shared" si="4"/>
        <v>228068238.57466668</v>
      </c>
      <c r="N17" s="84">
        <f t="shared" si="4"/>
        <v>235775385.86213332</v>
      </c>
      <c r="O17" s="156">
        <f t="shared" si="4"/>
        <v>243588527.14959997</v>
      </c>
    </row>
    <row r="18" spans="2:15" ht="16.5" thickBot="1" x14ac:dyDescent="0.3">
      <c r="B18" s="151" t="s">
        <v>144</v>
      </c>
      <c r="C18" s="159">
        <f>C17+C13</f>
        <v>150000000</v>
      </c>
      <c r="D18" s="160">
        <f>D17+D13</f>
        <v>173017205.94999999</v>
      </c>
      <c r="E18" s="160">
        <f t="shared" ref="E18:O18" si="5">E17+E13</f>
        <v>195295483.85000002</v>
      </c>
      <c r="F18" s="160">
        <f t="shared" si="5"/>
        <v>200720459.19999999</v>
      </c>
      <c r="G18" s="160">
        <f t="shared" si="5"/>
        <v>222854393.59999999</v>
      </c>
      <c r="H18" s="160">
        <f t="shared" si="5"/>
        <v>229123850</v>
      </c>
      <c r="I18" s="160">
        <f t="shared" si="5"/>
        <v>243542728.40000001</v>
      </c>
      <c r="J18" s="160">
        <f t="shared" si="5"/>
        <v>250945819.05000001</v>
      </c>
      <c r="K18" s="160">
        <f t="shared" si="5"/>
        <v>270983456.44999999</v>
      </c>
      <c r="L18" s="160">
        <f t="shared" si="5"/>
        <v>277573941.60000002</v>
      </c>
      <c r="M18" s="160">
        <f t="shared" si="5"/>
        <v>297614960</v>
      </c>
      <c r="N18" s="160">
        <f t="shared" si="5"/>
        <v>304912523.89999998</v>
      </c>
      <c r="O18" s="161">
        <f t="shared" si="5"/>
        <v>303944992.88</v>
      </c>
    </row>
    <row r="20" spans="2:15" x14ac:dyDescent="0.25">
      <c r="B20" s="52" t="s">
        <v>163</v>
      </c>
      <c r="C20" s="68">
        <f>C9-C18</f>
        <v>0</v>
      </c>
      <c r="D20" s="68">
        <f>D9-D18</f>
        <v>0</v>
      </c>
      <c r="E20" s="68">
        <f t="shared" ref="E20:O20" si="6">E9-E18</f>
        <v>0</v>
      </c>
      <c r="F20" s="68">
        <f t="shared" si="6"/>
        <v>0</v>
      </c>
      <c r="G20" s="68">
        <f t="shared" si="6"/>
        <v>0</v>
      </c>
      <c r="H20" s="68">
        <f t="shared" si="6"/>
        <v>0</v>
      </c>
      <c r="I20" s="68">
        <f t="shared" si="6"/>
        <v>0</v>
      </c>
      <c r="J20" s="68">
        <f t="shared" si="6"/>
        <v>0</v>
      </c>
      <c r="K20" s="68">
        <f t="shared" si="6"/>
        <v>0</v>
      </c>
      <c r="L20" s="68">
        <f t="shared" si="6"/>
        <v>0</v>
      </c>
      <c r="M20" s="68">
        <f>M9-M18</f>
        <v>0</v>
      </c>
      <c r="N20" s="68">
        <f t="shared" si="6"/>
        <v>0</v>
      </c>
      <c r="O20" s="68">
        <f t="shared" si="6"/>
        <v>0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D67D-06EF-4A79-90AC-A598A2C3C704}">
  <dimension ref="A1:AK24"/>
  <sheetViews>
    <sheetView zoomScale="70" zoomScaleNormal="70" workbookViewId="0">
      <selection activeCell="C14" sqref="C14"/>
    </sheetView>
  </sheetViews>
  <sheetFormatPr baseColWidth="10" defaultRowHeight="15" x14ac:dyDescent="0.25"/>
  <cols>
    <col min="1" max="2" width="28.7109375" customWidth="1"/>
    <col min="3" max="3" width="26" customWidth="1"/>
    <col min="5" max="5" width="13" customWidth="1"/>
    <col min="6" max="6" width="14.5703125" customWidth="1"/>
    <col min="7" max="7" width="16.42578125" bestFit="1" customWidth="1"/>
    <col min="8" max="10" width="22.85546875" customWidth="1"/>
    <col min="11" max="17" width="22.7109375" customWidth="1"/>
    <col min="19" max="19" width="13.7109375" customWidth="1"/>
    <col min="20" max="20" width="13.42578125" customWidth="1"/>
    <col min="21" max="21" width="15.42578125" customWidth="1"/>
    <col min="22" max="23" width="17.42578125" bestFit="1" customWidth="1"/>
    <col min="24" max="24" width="18" customWidth="1"/>
    <col min="25" max="26" width="16.85546875" customWidth="1"/>
    <col min="27" max="27" width="17.140625" customWidth="1"/>
    <col min="29" max="29" width="17.28515625" customWidth="1"/>
    <col min="30" max="30" width="15.28515625" customWidth="1"/>
    <col min="31" max="31" width="13.5703125" bestFit="1" customWidth="1"/>
    <col min="32" max="32" width="14.7109375" customWidth="1"/>
    <col min="33" max="33" width="15.42578125" customWidth="1"/>
    <col min="34" max="34" width="13.85546875" customWidth="1"/>
    <col min="35" max="35" width="14.5703125" customWidth="1"/>
    <col min="36" max="37" width="12.140625" bestFit="1" customWidth="1"/>
    <col min="38" max="39" width="12.5703125" bestFit="1" customWidth="1"/>
  </cols>
  <sheetData>
    <row r="1" spans="1:37" ht="15.75" thickBot="1" x14ac:dyDescent="0.3"/>
    <row r="2" spans="1:37" x14ac:dyDescent="0.25">
      <c r="A2" s="89" t="s">
        <v>100</v>
      </c>
      <c r="B2" s="56">
        <v>0.6</v>
      </c>
      <c r="D2" s="197" t="s">
        <v>33</v>
      </c>
      <c r="E2" s="198"/>
      <c r="F2" s="198"/>
      <c r="G2" s="198"/>
      <c r="H2" s="198"/>
      <c r="I2" s="198"/>
      <c r="J2" s="198"/>
      <c r="K2" s="198"/>
      <c r="L2" s="199"/>
      <c r="M2" s="9"/>
      <c r="N2" s="9"/>
      <c r="O2" s="9"/>
      <c r="P2" s="197" t="s">
        <v>34</v>
      </c>
      <c r="Q2" s="207"/>
      <c r="R2" s="207"/>
      <c r="S2" s="207"/>
      <c r="T2" s="207"/>
      <c r="U2" s="207"/>
      <c r="V2" s="207"/>
      <c r="W2" s="207"/>
      <c r="X2" s="207"/>
      <c r="Y2" s="208"/>
      <c r="AC2" s="197" t="s">
        <v>90</v>
      </c>
      <c r="AD2" s="198"/>
      <c r="AE2" s="198"/>
      <c r="AF2" s="198"/>
      <c r="AG2" s="199"/>
      <c r="AH2" s="51"/>
      <c r="AI2" s="184" t="s">
        <v>91</v>
      </c>
      <c r="AJ2" s="185"/>
      <c r="AK2" s="186"/>
    </row>
    <row r="3" spans="1:37" ht="15.75" thickBot="1" x14ac:dyDescent="0.3">
      <c r="A3" s="89" t="s">
        <v>32</v>
      </c>
      <c r="B3" s="55"/>
      <c r="D3" s="200"/>
      <c r="E3" s="206"/>
      <c r="F3" s="206"/>
      <c r="G3" s="206"/>
      <c r="H3" s="206"/>
      <c r="I3" s="206"/>
      <c r="J3" s="206"/>
      <c r="K3" s="206"/>
      <c r="L3" s="202"/>
      <c r="M3" s="9"/>
      <c r="N3" s="9"/>
      <c r="O3" s="9"/>
      <c r="P3" s="209"/>
      <c r="Q3" s="210"/>
      <c r="R3" s="210"/>
      <c r="S3" s="210"/>
      <c r="T3" s="210"/>
      <c r="U3" s="210"/>
      <c r="V3" s="210"/>
      <c r="W3" s="210"/>
      <c r="X3" s="210"/>
      <c r="Y3" s="211"/>
      <c r="AC3" s="200"/>
      <c r="AD3" s="201"/>
      <c r="AE3" s="201"/>
      <c r="AF3" s="201"/>
      <c r="AG3" s="202"/>
      <c r="AH3" s="51"/>
      <c r="AI3" s="187"/>
      <c r="AJ3" s="188"/>
      <c r="AK3" s="189"/>
    </row>
    <row r="4" spans="1:37" ht="15" customHeight="1" thickBot="1" x14ac:dyDescent="0.3">
      <c r="A4" s="90" t="s">
        <v>159</v>
      </c>
      <c r="B4" s="54">
        <v>2021</v>
      </c>
      <c r="D4" s="203"/>
      <c r="E4" s="204"/>
      <c r="F4" s="204"/>
      <c r="G4" s="204"/>
      <c r="H4" s="204"/>
      <c r="I4" s="204"/>
      <c r="J4" s="204"/>
      <c r="K4" s="204"/>
      <c r="L4" s="205"/>
      <c r="M4" s="9"/>
      <c r="N4" s="9"/>
      <c r="O4" s="9"/>
      <c r="P4" s="196" t="str">
        <f>D5</f>
        <v>LITROS DE GEL ANITBACTERIAL</v>
      </c>
      <c r="Q4" s="196"/>
      <c r="R4" s="196"/>
      <c r="S4" s="196"/>
      <c r="T4" s="196"/>
      <c r="U4" s="196"/>
      <c r="V4" s="196"/>
      <c r="W4" s="196"/>
      <c r="X4" s="196"/>
      <c r="Y4" s="196"/>
      <c r="AC4" s="203"/>
      <c r="AD4" s="204"/>
      <c r="AE4" s="204"/>
      <c r="AF4" s="204"/>
      <c r="AG4" s="205"/>
      <c r="AH4" s="51"/>
      <c r="AI4" s="190"/>
      <c r="AJ4" s="191"/>
      <c r="AK4" s="192"/>
    </row>
    <row r="5" spans="1:37" ht="15.75" thickBot="1" x14ac:dyDescent="0.3">
      <c r="A5" s="90" t="s">
        <v>99</v>
      </c>
      <c r="B5" s="59">
        <f>B6/(1-B2)</f>
        <v>4375</v>
      </c>
      <c r="D5" s="212" t="s">
        <v>158</v>
      </c>
      <c r="E5" s="212"/>
      <c r="F5" s="212"/>
      <c r="G5" s="213">
        <v>0.19</v>
      </c>
      <c r="H5" s="212"/>
      <c r="I5" s="212"/>
      <c r="J5" s="91">
        <v>0.85</v>
      </c>
      <c r="K5" s="91"/>
      <c r="L5" s="91"/>
      <c r="M5" s="10"/>
      <c r="N5" s="10"/>
      <c r="O5" s="10"/>
      <c r="P5" s="94"/>
      <c r="Q5" s="95"/>
      <c r="R5" s="96"/>
      <c r="S5" s="97"/>
      <c r="T5" s="98">
        <v>0.19</v>
      </c>
      <c r="U5" s="99">
        <v>3.5000000000000003E-2</v>
      </c>
      <c r="V5" s="97"/>
      <c r="W5" s="98">
        <v>1</v>
      </c>
      <c r="X5" s="98"/>
      <c r="Y5" s="100"/>
      <c r="AC5" s="193" t="str">
        <f>P4</f>
        <v>LITROS DE GEL ANITBACTERIAL</v>
      </c>
      <c r="AD5" s="194"/>
      <c r="AE5" s="194"/>
      <c r="AF5" s="194"/>
      <c r="AG5" s="195"/>
      <c r="AI5" s="196" t="str">
        <f>A4</f>
        <v>LITROS DE GEL ANTIBACTERIAL</v>
      </c>
      <c r="AJ5" s="196"/>
      <c r="AK5" s="196"/>
    </row>
    <row r="6" spans="1:37" ht="30" x14ac:dyDescent="0.25">
      <c r="A6" s="90" t="s">
        <v>98</v>
      </c>
      <c r="B6" s="59">
        <v>1750</v>
      </c>
      <c r="D6" s="92" t="s">
        <v>0</v>
      </c>
      <c r="E6" s="92" t="s">
        <v>1</v>
      </c>
      <c r="F6" s="92" t="s">
        <v>2</v>
      </c>
      <c r="G6" s="92" t="s">
        <v>3</v>
      </c>
      <c r="H6" s="92" t="s">
        <v>4</v>
      </c>
      <c r="I6" s="92" t="s">
        <v>5</v>
      </c>
      <c r="J6" s="92" t="s">
        <v>28</v>
      </c>
      <c r="K6" s="92" t="s">
        <v>112</v>
      </c>
      <c r="L6" s="92" t="s">
        <v>113</v>
      </c>
      <c r="M6" s="11"/>
      <c r="N6" s="11" t="s">
        <v>24</v>
      </c>
      <c r="O6" s="11"/>
      <c r="P6" s="92" t="s">
        <v>0</v>
      </c>
      <c r="Q6" s="101" t="s">
        <v>1</v>
      </c>
      <c r="R6" s="92" t="s">
        <v>6</v>
      </c>
      <c r="S6" s="92" t="s">
        <v>7</v>
      </c>
      <c r="T6" s="92" t="s">
        <v>4</v>
      </c>
      <c r="U6" s="92" t="s">
        <v>8</v>
      </c>
      <c r="V6" s="92" t="s">
        <v>9</v>
      </c>
      <c r="W6" s="92" t="s">
        <v>28</v>
      </c>
      <c r="X6" s="92" t="s">
        <v>112</v>
      </c>
      <c r="Y6" s="92" t="s">
        <v>114</v>
      </c>
      <c r="AA6" s="125" t="s">
        <v>134</v>
      </c>
      <c r="AC6" s="92" t="s">
        <v>0</v>
      </c>
      <c r="AD6" s="92" t="s">
        <v>92</v>
      </c>
      <c r="AE6" s="92" t="s">
        <v>93</v>
      </c>
      <c r="AF6" s="92" t="s">
        <v>94</v>
      </c>
      <c r="AG6" s="92" t="s">
        <v>29</v>
      </c>
      <c r="AI6" s="101" t="s">
        <v>0</v>
      </c>
      <c r="AJ6" s="101" t="s">
        <v>8</v>
      </c>
      <c r="AK6" s="101" t="s">
        <v>29</v>
      </c>
    </row>
    <row r="7" spans="1:37" x14ac:dyDescent="0.25">
      <c r="D7" s="93" t="s">
        <v>10</v>
      </c>
      <c r="E7" s="3">
        <v>2925</v>
      </c>
      <c r="F7" s="60">
        <f t="shared" ref="F7:F18" si="0">$B$5</f>
        <v>4375</v>
      </c>
      <c r="G7" s="5">
        <f>E7*F7</f>
        <v>12796875</v>
      </c>
      <c r="H7" s="58">
        <f>G7*$G$5</f>
        <v>2431406.25</v>
      </c>
      <c r="I7" s="5">
        <f>G7+H7</f>
        <v>15228281.25</v>
      </c>
      <c r="J7" s="5">
        <f>I7*$J$5</f>
        <v>12944039.0625</v>
      </c>
      <c r="K7" s="5">
        <f>I7-J7</f>
        <v>2284242.1875</v>
      </c>
      <c r="L7" s="3"/>
      <c r="M7" s="12"/>
      <c r="N7" s="14">
        <f t="shared" ref="N7:N18" si="1">E7*$B$6</f>
        <v>5118750</v>
      </c>
      <c r="O7" s="12"/>
      <c r="P7" s="102" t="s">
        <v>10</v>
      </c>
      <c r="Q7" s="1">
        <v>2930</v>
      </c>
      <c r="R7" s="60">
        <f t="shared" ref="R7:R18" si="2">$B$6</f>
        <v>1750</v>
      </c>
      <c r="S7" s="6">
        <f>R7*Q7</f>
        <v>5127500</v>
      </c>
      <c r="T7" s="6">
        <f>S7*$T$5</f>
        <v>974225</v>
      </c>
      <c r="U7" s="7">
        <f>S7*$U$5</f>
        <v>179462.50000000003</v>
      </c>
      <c r="V7" s="7">
        <f>S7+T7-U7</f>
        <v>5922262.5</v>
      </c>
      <c r="W7" s="7">
        <f>V7*$W$5</f>
        <v>5922262.5</v>
      </c>
      <c r="X7" s="7">
        <f>V7-W7</f>
        <v>0</v>
      </c>
      <c r="Y7" s="7">
        <f>X7</f>
        <v>0</v>
      </c>
      <c r="AA7" s="126">
        <f t="shared" ref="AA7:AA18" si="3">(Q7-E7)*$B$6</f>
        <v>8750</v>
      </c>
      <c r="AC7" s="102" t="s">
        <v>10</v>
      </c>
      <c r="AD7" s="6">
        <f t="shared" ref="AD7:AD18" si="4">H7</f>
        <v>2431406.25</v>
      </c>
      <c r="AE7" s="6">
        <f>T7</f>
        <v>974225</v>
      </c>
      <c r="AF7" s="6">
        <f>AD7-AE7</f>
        <v>1457181.25</v>
      </c>
      <c r="AG7" s="1"/>
      <c r="AI7" s="102" t="s">
        <v>10</v>
      </c>
      <c r="AJ7" s="6">
        <f>U7</f>
        <v>179462.50000000003</v>
      </c>
      <c r="AK7" s="1"/>
    </row>
    <row r="8" spans="1:37" x14ac:dyDescent="0.25">
      <c r="B8" s="2"/>
      <c r="D8" s="93" t="s">
        <v>11</v>
      </c>
      <c r="E8" s="3">
        <v>2978</v>
      </c>
      <c r="F8" s="60">
        <f t="shared" si="0"/>
        <v>4375</v>
      </c>
      <c r="G8" s="5">
        <f t="shared" ref="G8:G18" si="5">E8*F8</f>
        <v>13028750</v>
      </c>
      <c r="H8" s="58">
        <f t="shared" ref="H8:H18" si="6">G8*$G$5</f>
        <v>2475462.5</v>
      </c>
      <c r="I8" s="5">
        <f t="shared" ref="I8:I18" si="7">G8+H8</f>
        <v>15504212.5</v>
      </c>
      <c r="J8" s="5">
        <f t="shared" ref="J8:J18" si="8">I8*$J$5</f>
        <v>13178580.625</v>
      </c>
      <c r="K8" s="5">
        <f>I8-J8</f>
        <v>2325631.875</v>
      </c>
      <c r="L8" s="5">
        <f>K7</f>
        <v>2284242.1875</v>
      </c>
      <c r="M8" s="13"/>
      <c r="N8" s="14">
        <f t="shared" si="1"/>
        <v>5211500</v>
      </c>
      <c r="O8" s="13"/>
      <c r="P8" s="102" t="s">
        <v>11</v>
      </c>
      <c r="Q8" s="1">
        <v>2980</v>
      </c>
      <c r="R8" s="60">
        <f t="shared" si="2"/>
        <v>1750</v>
      </c>
      <c r="S8" s="6">
        <f>R8*Q8</f>
        <v>5215000</v>
      </c>
      <c r="T8" s="6">
        <f>S8*$T$5</f>
        <v>990850</v>
      </c>
      <c r="U8" s="7">
        <f>S8*$U$5</f>
        <v>182525.00000000003</v>
      </c>
      <c r="V8" s="7">
        <f>S8+T8-U8</f>
        <v>6023325</v>
      </c>
      <c r="W8" s="7">
        <f t="shared" ref="W8:W18" si="9">V8*$W$5</f>
        <v>6023325</v>
      </c>
      <c r="X8" s="7">
        <f t="shared" ref="X8:X18" si="10">V8-W8</f>
        <v>0</v>
      </c>
      <c r="Y8" s="7">
        <f t="shared" ref="Y8:Y18" si="11">X8</f>
        <v>0</v>
      </c>
      <c r="AA8" s="126">
        <f t="shared" si="3"/>
        <v>3500</v>
      </c>
      <c r="AC8" s="102" t="s">
        <v>11</v>
      </c>
      <c r="AD8" s="6">
        <f t="shared" si="4"/>
        <v>2475462.5</v>
      </c>
      <c r="AE8" s="6">
        <f t="shared" ref="AE8:AE18" si="12">T8</f>
        <v>990850</v>
      </c>
      <c r="AF8" s="6">
        <f t="shared" ref="AF8:AF18" si="13">AD8-AE8</f>
        <v>1484612.5</v>
      </c>
      <c r="AG8" s="1"/>
      <c r="AI8" s="102" t="s">
        <v>11</v>
      </c>
      <c r="AJ8" s="6">
        <f t="shared" ref="AJ8:AJ18" si="14">U8</f>
        <v>182525.00000000003</v>
      </c>
      <c r="AK8" s="6">
        <f>AJ7</f>
        <v>179462.50000000003</v>
      </c>
    </row>
    <row r="9" spans="1:37" ht="16.5" customHeight="1" x14ac:dyDescent="0.25">
      <c r="D9" s="93" t="s">
        <v>12</v>
      </c>
      <c r="E9" s="3">
        <v>1998</v>
      </c>
      <c r="F9" s="60">
        <f t="shared" si="0"/>
        <v>4375</v>
      </c>
      <c r="G9" s="5">
        <f t="shared" si="5"/>
        <v>8741250</v>
      </c>
      <c r="H9" s="58">
        <f t="shared" si="6"/>
        <v>1660837.5</v>
      </c>
      <c r="I9" s="5">
        <f t="shared" si="7"/>
        <v>10402087.5</v>
      </c>
      <c r="J9" s="5">
        <f t="shared" si="8"/>
        <v>8841774.375</v>
      </c>
      <c r="K9" s="5">
        <f t="shared" ref="K9:K18" si="15">I9-J9</f>
        <v>1560313.125</v>
      </c>
      <c r="L9" s="5">
        <f t="shared" ref="L9:L19" si="16">K8</f>
        <v>2325631.875</v>
      </c>
      <c r="M9" s="13"/>
      <c r="N9" s="14">
        <f t="shared" si="1"/>
        <v>3496500</v>
      </c>
      <c r="O9" s="13"/>
      <c r="P9" s="102" t="s">
        <v>12</v>
      </c>
      <c r="Q9" s="1">
        <v>2000</v>
      </c>
      <c r="R9" s="60">
        <f t="shared" si="2"/>
        <v>1750</v>
      </c>
      <c r="S9" s="6">
        <f>R9*Q9</f>
        <v>3500000</v>
      </c>
      <c r="T9" s="6">
        <f>S9*$T$5</f>
        <v>665000</v>
      </c>
      <c r="U9" s="7">
        <f t="shared" ref="U9:U18" si="17">S9*$U$5</f>
        <v>122500.00000000001</v>
      </c>
      <c r="V9" s="7">
        <f>S9+T9-U9</f>
        <v>4042500</v>
      </c>
      <c r="W9" s="7">
        <f t="shared" si="9"/>
        <v>4042500</v>
      </c>
      <c r="X9" s="7">
        <f t="shared" si="10"/>
        <v>0</v>
      </c>
      <c r="Y9" s="7">
        <f t="shared" si="11"/>
        <v>0</v>
      </c>
      <c r="AA9" s="126">
        <f t="shared" si="3"/>
        <v>3500</v>
      </c>
      <c r="AC9" s="102" t="s">
        <v>12</v>
      </c>
      <c r="AD9" s="6">
        <f t="shared" si="4"/>
        <v>1660837.5</v>
      </c>
      <c r="AE9" s="6">
        <f t="shared" si="12"/>
        <v>665000</v>
      </c>
      <c r="AF9" s="6">
        <f t="shared" si="13"/>
        <v>995837.5</v>
      </c>
      <c r="AG9" s="6">
        <f>AF8+AF7</f>
        <v>2941793.75</v>
      </c>
      <c r="AI9" s="102" t="s">
        <v>12</v>
      </c>
      <c r="AJ9" s="6">
        <f t="shared" si="14"/>
        <v>122500.00000000001</v>
      </c>
      <c r="AK9" s="6">
        <f>AJ8</f>
        <v>182525.00000000003</v>
      </c>
    </row>
    <row r="10" spans="1:37" ht="16.5" customHeight="1" x14ac:dyDescent="0.25">
      <c r="D10" s="93" t="s">
        <v>13</v>
      </c>
      <c r="E10" s="3">
        <v>2990</v>
      </c>
      <c r="F10" s="60">
        <f t="shared" si="0"/>
        <v>4375</v>
      </c>
      <c r="G10" s="5">
        <f t="shared" si="5"/>
        <v>13081250</v>
      </c>
      <c r="H10" s="58">
        <f t="shared" si="6"/>
        <v>2485437.5</v>
      </c>
      <c r="I10" s="5">
        <f t="shared" si="7"/>
        <v>15566687.5</v>
      </c>
      <c r="J10" s="5">
        <f t="shared" si="8"/>
        <v>13231684.375</v>
      </c>
      <c r="K10" s="5">
        <f t="shared" si="15"/>
        <v>2335003.125</v>
      </c>
      <c r="L10" s="5">
        <f t="shared" si="16"/>
        <v>1560313.125</v>
      </c>
      <c r="M10" s="13"/>
      <c r="N10" s="14">
        <f t="shared" si="1"/>
        <v>5232500</v>
      </c>
      <c r="O10" s="13"/>
      <c r="P10" s="102" t="s">
        <v>13</v>
      </c>
      <c r="Q10" s="1">
        <v>2990</v>
      </c>
      <c r="R10" s="60">
        <f t="shared" si="2"/>
        <v>1750</v>
      </c>
      <c r="S10" s="6">
        <f t="shared" ref="S10:S18" si="18">R10*Q10</f>
        <v>5232500</v>
      </c>
      <c r="T10" s="6">
        <f>S10*$T$5</f>
        <v>994175</v>
      </c>
      <c r="U10" s="7">
        <f t="shared" si="17"/>
        <v>183137.50000000003</v>
      </c>
      <c r="V10" s="7">
        <f>S10+T10-U10</f>
        <v>6043537.5</v>
      </c>
      <c r="W10" s="7">
        <f t="shared" si="9"/>
        <v>6043537.5</v>
      </c>
      <c r="X10" s="7">
        <f t="shared" si="10"/>
        <v>0</v>
      </c>
      <c r="Y10" s="7">
        <f t="shared" si="11"/>
        <v>0</v>
      </c>
      <c r="AA10" s="126">
        <f t="shared" si="3"/>
        <v>0</v>
      </c>
      <c r="AC10" s="102" t="s">
        <v>13</v>
      </c>
      <c r="AD10" s="6">
        <f t="shared" si="4"/>
        <v>2485437.5</v>
      </c>
      <c r="AE10" s="6">
        <f t="shared" si="12"/>
        <v>994175</v>
      </c>
      <c r="AF10" s="6">
        <f t="shared" si="13"/>
        <v>1491262.5</v>
      </c>
      <c r="AG10" s="1"/>
      <c r="AI10" s="102" t="s">
        <v>13</v>
      </c>
      <c r="AJ10" s="6">
        <f t="shared" si="14"/>
        <v>183137.50000000003</v>
      </c>
      <c r="AK10" s="6">
        <f t="shared" ref="AK10:AK18" si="19">AJ9</f>
        <v>122500.00000000001</v>
      </c>
    </row>
    <row r="11" spans="1:37" ht="16.5" customHeight="1" x14ac:dyDescent="0.25">
      <c r="D11" s="93" t="s">
        <v>14</v>
      </c>
      <c r="E11" s="3">
        <v>2100</v>
      </c>
      <c r="F11" s="60">
        <f t="shared" si="0"/>
        <v>4375</v>
      </c>
      <c r="G11" s="5">
        <f t="shared" si="5"/>
        <v>9187500</v>
      </c>
      <c r="H11" s="58">
        <f t="shared" si="6"/>
        <v>1745625</v>
      </c>
      <c r="I11" s="5">
        <f t="shared" si="7"/>
        <v>10933125</v>
      </c>
      <c r="J11" s="5">
        <f t="shared" si="8"/>
        <v>9293156.25</v>
      </c>
      <c r="K11" s="5">
        <f t="shared" si="15"/>
        <v>1639968.75</v>
      </c>
      <c r="L11" s="5">
        <f t="shared" si="16"/>
        <v>2335003.125</v>
      </c>
      <c r="M11" s="13"/>
      <c r="N11" s="14">
        <f t="shared" si="1"/>
        <v>3675000</v>
      </c>
      <c r="O11" s="13"/>
      <c r="P11" s="102" t="s">
        <v>14</v>
      </c>
      <c r="Q11" s="1">
        <v>2100</v>
      </c>
      <c r="R11" s="60">
        <f t="shared" si="2"/>
        <v>1750</v>
      </c>
      <c r="S11" s="6">
        <f>R11*Q11</f>
        <v>3675000</v>
      </c>
      <c r="T11" s="6">
        <f t="shared" ref="T11:T18" si="20">S11*$T$5</f>
        <v>698250</v>
      </c>
      <c r="U11" s="7">
        <f t="shared" si="17"/>
        <v>128625.00000000001</v>
      </c>
      <c r="V11" s="7">
        <f t="shared" ref="V11:V18" si="21">S11+T11-U11</f>
        <v>4244625</v>
      </c>
      <c r="W11" s="7">
        <f t="shared" si="9"/>
        <v>4244625</v>
      </c>
      <c r="X11" s="7">
        <f t="shared" si="10"/>
        <v>0</v>
      </c>
      <c r="Y11" s="7">
        <f t="shared" si="11"/>
        <v>0</v>
      </c>
      <c r="AA11" s="126">
        <f t="shared" si="3"/>
        <v>0</v>
      </c>
      <c r="AC11" s="102" t="s">
        <v>14</v>
      </c>
      <c r="AD11" s="6">
        <f t="shared" si="4"/>
        <v>1745625</v>
      </c>
      <c r="AE11" s="6">
        <f t="shared" si="12"/>
        <v>698250</v>
      </c>
      <c r="AF11" s="6">
        <f t="shared" si="13"/>
        <v>1047375</v>
      </c>
      <c r="AG11" s="6">
        <f>AF10+AF9</f>
        <v>2487100</v>
      </c>
      <c r="AI11" s="102" t="s">
        <v>14</v>
      </c>
      <c r="AJ11" s="6">
        <f t="shared" si="14"/>
        <v>128625.00000000001</v>
      </c>
      <c r="AK11" s="6">
        <f t="shared" si="19"/>
        <v>183137.50000000003</v>
      </c>
    </row>
    <row r="12" spans="1:37" ht="16.5" customHeight="1" x14ac:dyDescent="0.25">
      <c r="D12" s="93" t="s">
        <v>15</v>
      </c>
      <c r="E12" s="3">
        <v>2050</v>
      </c>
      <c r="F12" s="60">
        <f t="shared" si="0"/>
        <v>4375</v>
      </c>
      <c r="G12" s="5">
        <f t="shared" si="5"/>
        <v>8968750</v>
      </c>
      <c r="H12" s="58">
        <f t="shared" si="6"/>
        <v>1704062.5</v>
      </c>
      <c r="I12" s="5">
        <f t="shared" si="7"/>
        <v>10672812.5</v>
      </c>
      <c r="J12" s="5">
        <f t="shared" si="8"/>
        <v>9071890.625</v>
      </c>
      <c r="K12" s="5">
        <f t="shared" si="15"/>
        <v>1600921.875</v>
      </c>
      <c r="L12" s="5">
        <f t="shared" si="16"/>
        <v>1639968.75</v>
      </c>
      <c r="M12" s="13"/>
      <c r="N12" s="14">
        <f t="shared" si="1"/>
        <v>3587500</v>
      </c>
      <c r="O12" s="13"/>
      <c r="P12" s="102" t="s">
        <v>15</v>
      </c>
      <c r="Q12" s="1">
        <v>2080</v>
      </c>
      <c r="R12" s="60">
        <f t="shared" si="2"/>
        <v>1750</v>
      </c>
      <c r="S12" s="6">
        <f t="shared" si="18"/>
        <v>3640000</v>
      </c>
      <c r="T12" s="6">
        <f t="shared" si="20"/>
        <v>691600</v>
      </c>
      <c r="U12" s="7">
        <f t="shared" si="17"/>
        <v>127400.00000000001</v>
      </c>
      <c r="V12" s="7">
        <f t="shared" si="21"/>
        <v>4204200</v>
      </c>
      <c r="W12" s="7">
        <f t="shared" si="9"/>
        <v>4204200</v>
      </c>
      <c r="X12" s="7">
        <f t="shared" si="10"/>
        <v>0</v>
      </c>
      <c r="Y12" s="7">
        <f t="shared" si="11"/>
        <v>0</v>
      </c>
      <c r="AA12" s="126">
        <f t="shared" si="3"/>
        <v>52500</v>
      </c>
      <c r="AC12" s="102" t="s">
        <v>15</v>
      </c>
      <c r="AD12" s="6">
        <f t="shared" si="4"/>
        <v>1704062.5</v>
      </c>
      <c r="AE12" s="6">
        <f t="shared" si="12"/>
        <v>691600</v>
      </c>
      <c r="AF12" s="6">
        <f t="shared" si="13"/>
        <v>1012462.5</v>
      </c>
      <c r="AG12" s="1"/>
      <c r="AI12" s="102" t="s">
        <v>15</v>
      </c>
      <c r="AJ12" s="6">
        <f t="shared" si="14"/>
        <v>127400.00000000001</v>
      </c>
      <c r="AK12" s="6">
        <f t="shared" si="19"/>
        <v>128625.00000000001</v>
      </c>
    </row>
    <row r="13" spans="1:37" ht="16.5" customHeight="1" x14ac:dyDescent="0.25">
      <c r="D13" s="93" t="s">
        <v>16</v>
      </c>
      <c r="E13" s="3">
        <v>2225</v>
      </c>
      <c r="F13" s="60">
        <f t="shared" si="0"/>
        <v>4375</v>
      </c>
      <c r="G13" s="5">
        <f t="shared" si="5"/>
        <v>9734375</v>
      </c>
      <c r="H13" s="58">
        <f t="shared" si="6"/>
        <v>1849531.25</v>
      </c>
      <c r="I13" s="5">
        <f t="shared" si="7"/>
        <v>11583906.25</v>
      </c>
      <c r="J13" s="5">
        <f t="shared" si="8"/>
        <v>9846320.3125</v>
      </c>
      <c r="K13" s="5">
        <f t="shared" si="15"/>
        <v>1737585.9375</v>
      </c>
      <c r="L13" s="5">
        <f t="shared" si="16"/>
        <v>1600921.875</v>
      </c>
      <c r="M13" s="13"/>
      <c r="N13" s="14">
        <f t="shared" si="1"/>
        <v>3893750</v>
      </c>
      <c r="O13" s="13"/>
      <c r="P13" s="102" t="s">
        <v>16</v>
      </c>
      <c r="Q13" s="1">
        <v>2200</v>
      </c>
      <c r="R13" s="60">
        <f t="shared" si="2"/>
        <v>1750</v>
      </c>
      <c r="S13" s="6">
        <f t="shared" si="18"/>
        <v>3850000</v>
      </c>
      <c r="T13" s="6">
        <f t="shared" si="20"/>
        <v>731500</v>
      </c>
      <c r="U13" s="7">
        <f t="shared" si="17"/>
        <v>134750</v>
      </c>
      <c r="V13" s="7">
        <f t="shared" si="21"/>
        <v>4446750</v>
      </c>
      <c r="W13" s="7">
        <f t="shared" si="9"/>
        <v>4446750</v>
      </c>
      <c r="X13" s="7">
        <f t="shared" si="10"/>
        <v>0</v>
      </c>
      <c r="Y13" s="7">
        <f t="shared" si="11"/>
        <v>0</v>
      </c>
      <c r="AA13" s="126">
        <f t="shared" si="3"/>
        <v>-43750</v>
      </c>
      <c r="AC13" s="102" t="s">
        <v>16</v>
      </c>
      <c r="AD13" s="6">
        <f t="shared" si="4"/>
        <v>1849531.25</v>
      </c>
      <c r="AE13" s="6">
        <f t="shared" si="12"/>
        <v>731500</v>
      </c>
      <c r="AF13" s="6">
        <f t="shared" si="13"/>
        <v>1118031.25</v>
      </c>
      <c r="AG13" s="6">
        <f>AF11+AF12</f>
        <v>2059837.5</v>
      </c>
      <c r="AI13" s="102" t="s">
        <v>16</v>
      </c>
      <c r="AJ13" s="6">
        <f t="shared" si="14"/>
        <v>134750</v>
      </c>
      <c r="AK13" s="6">
        <f t="shared" si="19"/>
        <v>127400.00000000001</v>
      </c>
    </row>
    <row r="14" spans="1:37" ht="16.5" customHeight="1" x14ac:dyDescent="0.25">
      <c r="D14" s="93" t="s">
        <v>17</v>
      </c>
      <c r="E14" s="3">
        <v>2298</v>
      </c>
      <c r="F14" s="60">
        <f t="shared" si="0"/>
        <v>4375</v>
      </c>
      <c r="G14" s="5">
        <f t="shared" si="5"/>
        <v>10053750</v>
      </c>
      <c r="H14" s="58">
        <f t="shared" si="6"/>
        <v>1910212.5</v>
      </c>
      <c r="I14" s="5">
        <f t="shared" si="7"/>
        <v>11963962.5</v>
      </c>
      <c r="J14" s="5">
        <f t="shared" si="8"/>
        <v>10169368.125</v>
      </c>
      <c r="K14" s="5">
        <f t="shared" si="15"/>
        <v>1794594.375</v>
      </c>
      <c r="L14" s="5">
        <f t="shared" si="16"/>
        <v>1737585.9375</v>
      </c>
      <c r="M14" s="13"/>
      <c r="N14" s="14">
        <f t="shared" si="1"/>
        <v>4021500</v>
      </c>
      <c r="O14" s="13"/>
      <c r="P14" s="102" t="s">
        <v>17</v>
      </c>
      <c r="Q14" s="1">
        <v>2300</v>
      </c>
      <c r="R14" s="60">
        <f t="shared" si="2"/>
        <v>1750</v>
      </c>
      <c r="S14" s="6">
        <f t="shared" si="18"/>
        <v>4025000</v>
      </c>
      <c r="T14" s="6">
        <f t="shared" si="20"/>
        <v>764750</v>
      </c>
      <c r="U14" s="7">
        <f t="shared" si="17"/>
        <v>140875</v>
      </c>
      <c r="V14" s="7">
        <f t="shared" si="21"/>
        <v>4648875</v>
      </c>
      <c r="W14" s="7">
        <f t="shared" si="9"/>
        <v>4648875</v>
      </c>
      <c r="X14" s="7">
        <f t="shared" si="10"/>
        <v>0</v>
      </c>
      <c r="Y14" s="7">
        <f t="shared" si="11"/>
        <v>0</v>
      </c>
      <c r="AA14" s="126">
        <f t="shared" si="3"/>
        <v>3500</v>
      </c>
      <c r="AC14" s="102" t="s">
        <v>17</v>
      </c>
      <c r="AD14" s="6">
        <f t="shared" si="4"/>
        <v>1910212.5</v>
      </c>
      <c r="AE14" s="6">
        <f t="shared" si="12"/>
        <v>764750</v>
      </c>
      <c r="AF14" s="6">
        <f t="shared" si="13"/>
        <v>1145462.5</v>
      </c>
      <c r="AG14" s="1"/>
      <c r="AI14" s="102" t="s">
        <v>17</v>
      </c>
      <c r="AJ14" s="6">
        <f t="shared" si="14"/>
        <v>140875</v>
      </c>
      <c r="AK14" s="6">
        <f t="shared" si="19"/>
        <v>134750</v>
      </c>
    </row>
    <row r="15" spans="1:37" ht="16.5" customHeight="1" x14ac:dyDescent="0.25">
      <c r="D15" s="93" t="s">
        <v>18</v>
      </c>
      <c r="E15" s="3">
        <v>2110</v>
      </c>
      <c r="F15" s="60">
        <f t="shared" si="0"/>
        <v>4375</v>
      </c>
      <c r="G15" s="5">
        <f t="shared" si="5"/>
        <v>9231250</v>
      </c>
      <c r="H15" s="58">
        <f t="shared" si="6"/>
        <v>1753937.5</v>
      </c>
      <c r="I15" s="5">
        <f t="shared" si="7"/>
        <v>10985187.5</v>
      </c>
      <c r="J15" s="5">
        <f t="shared" si="8"/>
        <v>9337409.375</v>
      </c>
      <c r="K15" s="5">
        <f t="shared" si="15"/>
        <v>1647778.125</v>
      </c>
      <c r="L15" s="5">
        <f t="shared" si="16"/>
        <v>1794594.375</v>
      </c>
      <c r="M15" s="13"/>
      <c r="N15" s="14">
        <f t="shared" si="1"/>
        <v>3692500</v>
      </c>
      <c r="O15" s="13"/>
      <c r="P15" s="102" t="s">
        <v>18</v>
      </c>
      <c r="Q15" s="1">
        <v>2100</v>
      </c>
      <c r="R15" s="60">
        <f t="shared" si="2"/>
        <v>1750</v>
      </c>
      <c r="S15" s="6">
        <f t="shared" si="18"/>
        <v>3675000</v>
      </c>
      <c r="T15" s="6">
        <f t="shared" si="20"/>
        <v>698250</v>
      </c>
      <c r="U15" s="7">
        <f t="shared" si="17"/>
        <v>128625.00000000001</v>
      </c>
      <c r="V15" s="7">
        <f t="shared" si="21"/>
        <v>4244625</v>
      </c>
      <c r="W15" s="7">
        <f t="shared" si="9"/>
        <v>4244625</v>
      </c>
      <c r="X15" s="7">
        <f t="shared" si="10"/>
        <v>0</v>
      </c>
      <c r="Y15" s="7">
        <f t="shared" si="11"/>
        <v>0</v>
      </c>
      <c r="AA15" s="126">
        <f t="shared" si="3"/>
        <v>-17500</v>
      </c>
      <c r="AC15" s="102" t="s">
        <v>18</v>
      </c>
      <c r="AD15" s="6">
        <f t="shared" si="4"/>
        <v>1753937.5</v>
      </c>
      <c r="AE15" s="6">
        <f t="shared" si="12"/>
        <v>698250</v>
      </c>
      <c r="AF15" s="6">
        <f t="shared" si="13"/>
        <v>1055687.5</v>
      </c>
      <c r="AG15" s="6">
        <f>AF14+AF13</f>
        <v>2263493.75</v>
      </c>
      <c r="AI15" s="102" t="s">
        <v>18</v>
      </c>
      <c r="AJ15" s="6">
        <f t="shared" si="14"/>
        <v>128625.00000000001</v>
      </c>
      <c r="AK15" s="6">
        <f t="shared" si="19"/>
        <v>140875</v>
      </c>
    </row>
    <row r="16" spans="1:37" ht="16.5" customHeight="1" x14ac:dyDescent="0.25">
      <c r="D16" s="93" t="s">
        <v>19</v>
      </c>
      <c r="E16" s="3">
        <v>2190</v>
      </c>
      <c r="F16" s="60">
        <f t="shared" si="0"/>
        <v>4375</v>
      </c>
      <c r="G16" s="5">
        <f t="shared" si="5"/>
        <v>9581250</v>
      </c>
      <c r="H16" s="58">
        <f t="shared" si="6"/>
        <v>1820437.5</v>
      </c>
      <c r="I16" s="5">
        <f t="shared" si="7"/>
        <v>11401687.5</v>
      </c>
      <c r="J16" s="5">
        <f t="shared" si="8"/>
        <v>9691434.375</v>
      </c>
      <c r="K16" s="5">
        <f t="shared" si="15"/>
        <v>1710253.125</v>
      </c>
      <c r="L16" s="5">
        <f t="shared" si="16"/>
        <v>1647778.125</v>
      </c>
      <c r="M16" s="13"/>
      <c r="N16" s="14">
        <f t="shared" si="1"/>
        <v>3832500</v>
      </c>
      <c r="O16" s="13"/>
      <c r="P16" s="102" t="s">
        <v>19</v>
      </c>
      <c r="Q16" s="1">
        <v>2200</v>
      </c>
      <c r="R16" s="60">
        <f t="shared" si="2"/>
        <v>1750</v>
      </c>
      <c r="S16" s="6">
        <f t="shared" si="18"/>
        <v>3850000</v>
      </c>
      <c r="T16" s="6">
        <f t="shared" si="20"/>
        <v>731500</v>
      </c>
      <c r="U16" s="7">
        <f t="shared" si="17"/>
        <v>134750</v>
      </c>
      <c r="V16" s="7">
        <f t="shared" si="21"/>
        <v>4446750</v>
      </c>
      <c r="W16" s="7">
        <f t="shared" si="9"/>
        <v>4446750</v>
      </c>
      <c r="X16" s="7">
        <f t="shared" si="10"/>
        <v>0</v>
      </c>
      <c r="Y16" s="7">
        <f t="shared" si="11"/>
        <v>0</v>
      </c>
      <c r="AA16" s="126">
        <f t="shared" si="3"/>
        <v>17500</v>
      </c>
      <c r="AC16" s="102" t="s">
        <v>19</v>
      </c>
      <c r="AD16" s="6">
        <f t="shared" si="4"/>
        <v>1820437.5</v>
      </c>
      <c r="AE16" s="6">
        <f t="shared" si="12"/>
        <v>731500</v>
      </c>
      <c r="AF16" s="6">
        <f t="shared" si="13"/>
        <v>1088937.5</v>
      </c>
      <c r="AG16" s="1"/>
      <c r="AI16" s="102" t="s">
        <v>19</v>
      </c>
      <c r="AJ16" s="6">
        <f t="shared" si="14"/>
        <v>134750</v>
      </c>
      <c r="AK16" s="6">
        <f t="shared" si="19"/>
        <v>128625.00000000001</v>
      </c>
    </row>
    <row r="17" spans="1:37" ht="16.5" customHeight="1" x14ac:dyDescent="0.25">
      <c r="D17" s="93" t="s">
        <v>20</v>
      </c>
      <c r="E17" s="3">
        <v>2360</v>
      </c>
      <c r="F17" s="60">
        <f t="shared" si="0"/>
        <v>4375</v>
      </c>
      <c r="G17" s="5">
        <f t="shared" si="5"/>
        <v>10325000</v>
      </c>
      <c r="H17" s="58">
        <f t="shared" si="6"/>
        <v>1961750</v>
      </c>
      <c r="I17" s="5">
        <f t="shared" si="7"/>
        <v>12286750</v>
      </c>
      <c r="J17" s="5">
        <f t="shared" si="8"/>
        <v>10443737.5</v>
      </c>
      <c r="K17" s="5">
        <f t="shared" si="15"/>
        <v>1843012.5</v>
      </c>
      <c r="L17" s="5">
        <f t="shared" si="16"/>
        <v>1710253.125</v>
      </c>
      <c r="M17" s="13"/>
      <c r="N17" s="14">
        <f t="shared" si="1"/>
        <v>4130000</v>
      </c>
      <c r="O17" s="13"/>
      <c r="P17" s="102" t="s">
        <v>20</v>
      </c>
      <c r="Q17" s="1">
        <v>2350</v>
      </c>
      <c r="R17" s="60">
        <f t="shared" si="2"/>
        <v>1750</v>
      </c>
      <c r="S17" s="6">
        <f t="shared" si="18"/>
        <v>4112500</v>
      </c>
      <c r="T17" s="6">
        <f t="shared" si="20"/>
        <v>781375</v>
      </c>
      <c r="U17" s="7">
        <f t="shared" si="17"/>
        <v>143937.5</v>
      </c>
      <c r="V17" s="7">
        <f t="shared" si="21"/>
        <v>4749937.5</v>
      </c>
      <c r="W17" s="7">
        <f t="shared" si="9"/>
        <v>4749937.5</v>
      </c>
      <c r="X17" s="7">
        <f t="shared" si="10"/>
        <v>0</v>
      </c>
      <c r="Y17" s="7">
        <f t="shared" si="11"/>
        <v>0</v>
      </c>
      <c r="AA17" s="126">
        <f t="shared" si="3"/>
        <v>-17500</v>
      </c>
      <c r="AC17" s="102" t="s">
        <v>20</v>
      </c>
      <c r="AD17" s="6">
        <f t="shared" si="4"/>
        <v>1961750</v>
      </c>
      <c r="AE17" s="6">
        <f t="shared" si="12"/>
        <v>781375</v>
      </c>
      <c r="AF17" s="6">
        <f t="shared" si="13"/>
        <v>1180375</v>
      </c>
      <c r="AG17" s="6">
        <f>AF16+AF15</f>
        <v>2144625</v>
      </c>
      <c r="AI17" s="102" t="s">
        <v>20</v>
      </c>
      <c r="AJ17" s="6">
        <f t="shared" si="14"/>
        <v>143937.5</v>
      </c>
      <c r="AK17" s="6">
        <f t="shared" si="19"/>
        <v>134750</v>
      </c>
    </row>
    <row r="18" spans="1:37" ht="16.5" customHeight="1" thickBot="1" x14ac:dyDescent="0.3">
      <c r="A18" s="77"/>
      <c r="D18" s="93" t="s">
        <v>21</v>
      </c>
      <c r="E18" s="3">
        <v>2356</v>
      </c>
      <c r="F18" s="60">
        <f t="shared" si="0"/>
        <v>4375</v>
      </c>
      <c r="G18" s="5">
        <f t="shared" si="5"/>
        <v>10307500</v>
      </c>
      <c r="H18" s="58">
        <f t="shared" si="6"/>
        <v>1958425</v>
      </c>
      <c r="I18" s="5">
        <f t="shared" si="7"/>
        <v>12265925</v>
      </c>
      <c r="J18" s="5">
        <f t="shared" si="8"/>
        <v>10426036.25</v>
      </c>
      <c r="K18" s="5">
        <f t="shared" si="15"/>
        <v>1839888.75</v>
      </c>
      <c r="L18" s="5">
        <f t="shared" si="16"/>
        <v>1843012.5</v>
      </c>
      <c r="M18" s="13"/>
      <c r="N18" s="14">
        <f t="shared" si="1"/>
        <v>4123000</v>
      </c>
      <c r="O18" s="13"/>
      <c r="P18" s="102" t="s">
        <v>21</v>
      </c>
      <c r="Q18" s="1">
        <v>2350</v>
      </c>
      <c r="R18" s="60">
        <f t="shared" si="2"/>
        <v>1750</v>
      </c>
      <c r="S18" s="6">
        <f t="shared" si="18"/>
        <v>4112500</v>
      </c>
      <c r="T18" s="6">
        <f t="shared" si="20"/>
        <v>781375</v>
      </c>
      <c r="U18" s="7">
        <f t="shared" si="17"/>
        <v>143937.5</v>
      </c>
      <c r="V18" s="7">
        <f t="shared" si="21"/>
        <v>4749937.5</v>
      </c>
      <c r="W18" s="7">
        <f t="shared" si="9"/>
        <v>4749937.5</v>
      </c>
      <c r="X18" s="7">
        <f t="shared" si="10"/>
        <v>0</v>
      </c>
      <c r="Y18" s="7">
        <f t="shared" si="11"/>
        <v>0</v>
      </c>
      <c r="AA18" s="127">
        <f t="shared" si="3"/>
        <v>-10500</v>
      </c>
      <c r="AC18" s="102" t="s">
        <v>21</v>
      </c>
      <c r="AD18" s="6">
        <f t="shared" si="4"/>
        <v>1958425</v>
      </c>
      <c r="AE18" s="6">
        <f t="shared" si="12"/>
        <v>781375</v>
      </c>
      <c r="AF18" s="6">
        <f t="shared" si="13"/>
        <v>1177050</v>
      </c>
      <c r="AG18" s="1"/>
      <c r="AI18" s="102" t="s">
        <v>21</v>
      </c>
      <c r="AJ18" s="6">
        <f t="shared" si="14"/>
        <v>143937.5</v>
      </c>
      <c r="AK18" s="6">
        <f t="shared" si="19"/>
        <v>143937.5</v>
      </c>
    </row>
    <row r="19" spans="1:37" ht="16.5" customHeight="1" x14ac:dyDescent="0.25">
      <c r="D19" s="93" t="s">
        <v>10</v>
      </c>
      <c r="E19" s="12"/>
      <c r="F19" s="17"/>
      <c r="G19" s="13"/>
      <c r="H19" s="18"/>
      <c r="I19" s="13"/>
      <c r="J19" s="13"/>
      <c r="K19" s="13"/>
      <c r="L19" s="5">
        <f t="shared" si="16"/>
        <v>1839888.75</v>
      </c>
      <c r="M19" s="13"/>
      <c r="N19" s="14"/>
      <c r="O19" s="13"/>
      <c r="P19" s="102" t="s">
        <v>10</v>
      </c>
      <c r="Q19" s="19"/>
      <c r="R19" s="20"/>
      <c r="S19" s="21"/>
      <c r="T19" s="21"/>
      <c r="U19" s="7"/>
      <c r="V19" s="22"/>
      <c r="W19" s="22"/>
      <c r="X19" s="22"/>
      <c r="Y19" s="7"/>
      <c r="AC19" s="102" t="s">
        <v>10</v>
      </c>
      <c r="AG19" s="6">
        <f>AF18+AF17</f>
        <v>2357425</v>
      </c>
      <c r="AI19" s="102" t="s">
        <v>10</v>
      </c>
      <c r="AK19" s="6">
        <f>AJ18</f>
        <v>143937.5</v>
      </c>
    </row>
    <row r="20" spans="1:37" ht="16.5" customHeight="1" thickBot="1" x14ac:dyDescent="0.3">
      <c r="D20" s="93" t="s">
        <v>11</v>
      </c>
      <c r="E20" s="12"/>
      <c r="F20" s="17"/>
      <c r="G20" s="13"/>
      <c r="H20" s="18"/>
      <c r="I20" s="13"/>
      <c r="J20" s="13"/>
      <c r="K20" s="13"/>
      <c r="L20" s="119"/>
      <c r="M20" s="13"/>
      <c r="N20" s="14"/>
      <c r="O20" s="13"/>
      <c r="P20" s="13"/>
      <c r="Q20" s="19"/>
      <c r="R20" s="20"/>
      <c r="S20" s="21"/>
      <c r="T20" s="21"/>
      <c r="U20" s="22"/>
      <c r="V20" s="22"/>
      <c r="W20" s="22"/>
      <c r="X20" s="22"/>
      <c r="Y20" s="22"/>
      <c r="AC20" s="19"/>
      <c r="AG20" s="21"/>
      <c r="AI20" s="19"/>
      <c r="AK20" s="21"/>
    </row>
    <row r="21" spans="1:37" x14ac:dyDescent="0.25">
      <c r="D21" s="93"/>
      <c r="F21" s="128" t="s">
        <v>22</v>
      </c>
      <c r="G21" s="129">
        <f>SUM(G7:G18)</f>
        <v>125037500</v>
      </c>
      <c r="H21" s="129">
        <f t="shared" ref="H21:I21" si="22">SUM(H7:H18)</f>
        <v>23757125</v>
      </c>
      <c r="I21" s="129">
        <f t="shared" si="22"/>
        <v>148794625</v>
      </c>
      <c r="J21" s="129">
        <f>SUM(J7:J18)</f>
        <v>126475431.25</v>
      </c>
      <c r="K21" s="129">
        <f>SUM(K7:K18)</f>
        <v>22319193.75</v>
      </c>
      <c r="L21" s="130">
        <f>SUM(L7:L18)</f>
        <v>20479305</v>
      </c>
      <c r="M21" s="8"/>
      <c r="N21" s="15">
        <f>SUM(N7:N18)</f>
        <v>50015000</v>
      </c>
      <c r="O21" s="8"/>
      <c r="P21" s="8"/>
      <c r="R21" s="128" t="s">
        <v>22</v>
      </c>
      <c r="S21" s="129">
        <f>SUM(S7:S18)</f>
        <v>50015000</v>
      </c>
      <c r="T21" s="129">
        <f t="shared" ref="T21:Y21" si="23">SUM(T7:T18)</f>
        <v>9502850</v>
      </c>
      <c r="U21" s="129">
        <f>SUM(U7:U18)</f>
        <v>1750525</v>
      </c>
      <c r="V21" s="129">
        <f t="shared" si="23"/>
        <v>57767325</v>
      </c>
      <c r="W21" s="129">
        <f t="shared" si="23"/>
        <v>57767325</v>
      </c>
      <c r="X21" s="129">
        <f t="shared" si="23"/>
        <v>0</v>
      </c>
      <c r="Y21" s="130">
        <f t="shared" si="23"/>
        <v>0</v>
      </c>
    </row>
    <row r="22" spans="1:37" ht="15.75" thickBot="1" x14ac:dyDescent="0.3">
      <c r="F22" s="131" t="s">
        <v>23</v>
      </c>
      <c r="G22" s="132">
        <f>AVERAGE(G7:G18)</f>
        <v>10419791.666666666</v>
      </c>
      <c r="H22" s="132">
        <f t="shared" ref="H22:I22" si="24">AVERAGE(H7:H18)</f>
        <v>1979760.4166666667</v>
      </c>
      <c r="I22" s="132">
        <f t="shared" si="24"/>
        <v>12399552.083333334</v>
      </c>
      <c r="J22" s="132">
        <f>AVERAGE(J7:J18)</f>
        <v>10539619.270833334</v>
      </c>
      <c r="K22" s="132">
        <f>AVERAGE(K7:K18)</f>
        <v>1859932.8125</v>
      </c>
      <c r="L22" s="133">
        <f>AVERAGE(L7:L18)</f>
        <v>1861755</v>
      </c>
      <c r="M22" s="8"/>
      <c r="N22" s="8"/>
      <c r="O22" s="8"/>
      <c r="P22" s="8"/>
      <c r="R22" s="131" t="s">
        <v>23</v>
      </c>
      <c r="S22" s="132">
        <f>AVERAGE(S7:S18)</f>
        <v>4167916.6666666665</v>
      </c>
      <c r="T22" s="132">
        <f t="shared" ref="T22:Y22" si="25">AVERAGE(T7:T18)</f>
        <v>791904.16666666663</v>
      </c>
      <c r="U22" s="132">
        <f>AVERAGE(U7:U18)</f>
        <v>145877.08333333334</v>
      </c>
      <c r="V22" s="132">
        <f t="shared" si="25"/>
        <v>4813943.75</v>
      </c>
      <c r="W22" s="132">
        <f>AVERAGE(W7:W18)</f>
        <v>4813943.75</v>
      </c>
      <c r="X22" s="132">
        <f>AVERAGE(X7:X18)</f>
        <v>0</v>
      </c>
      <c r="Y22" s="133">
        <f t="shared" si="25"/>
        <v>0</v>
      </c>
    </row>
    <row r="23" spans="1:37" x14ac:dyDescent="0.25">
      <c r="L23" s="8"/>
    </row>
    <row r="24" spans="1:37" x14ac:dyDescent="0.25">
      <c r="M24" s="8"/>
    </row>
  </sheetData>
  <mergeCells count="9">
    <mergeCell ref="D5:F5"/>
    <mergeCell ref="G5:I5"/>
    <mergeCell ref="AC5:AG5"/>
    <mergeCell ref="AI5:AK5"/>
    <mergeCell ref="D2:L4"/>
    <mergeCell ref="P2:Y3"/>
    <mergeCell ref="AC2:AG4"/>
    <mergeCell ref="AI2:AK4"/>
    <mergeCell ref="P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F198-A530-4EA7-BD8A-FA7E55E9B4B1}">
  <dimension ref="A1:AK24"/>
  <sheetViews>
    <sheetView topLeftCell="C1" zoomScale="70" zoomScaleNormal="70" workbookViewId="0">
      <selection activeCell="H39" sqref="H39"/>
    </sheetView>
  </sheetViews>
  <sheetFormatPr baseColWidth="10" defaultRowHeight="15" x14ac:dyDescent="0.25"/>
  <cols>
    <col min="1" max="1" width="24.85546875" customWidth="1"/>
    <col min="2" max="2" width="25.5703125" customWidth="1"/>
    <col min="3" max="3" width="26" customWidth="1"/>
    <col min="4" max="4" width="13.42578125" customWidth="1"/>
    <col min="5" max="5" width="14" customWidth="1"/>
    <col min="6" max="6" width="14.5703125" customWidth="1"/>
    <col min="7" max="7" width="16.85546875" bestFit="1" customWidth="1"/>
    <col min="8" max="10" width="22.85546875" customWidth="1"/>
    <col min="11" max="17" width="22.7109375" customWidth="1"/>
    <col min="19" max="19" width="15.7109375" customWidth="1"/>
    <col min="20" max="20" width="16.140625" customWidth="1"/>
    <col min="21" max="21" width="15.42578125" customWidth="1"/>
    <col min="22" max="22" width="17.85546875" customWidth="1"/>
    <col min="23" max="23" width="16.140625" customWidth="1"/>
    <col min="24" max="24" width="18" customWidth="1"/>
    <col min="25" max="26" width="16.85546875" customWidth="1"/>
    <col min="27" max="27" width="17.140625" customWidth="1"/>
    <col min="29" max="29" width="17.28515625" customWidth="1"/>
    <col min="32" max="32" width="14.7109375" customWidth="1"/>
    <col min="33" max="33" width="15.42578125" customWidth="1"/>
    <col min="34" max="34" width="13.85546875" customWidth="1"/>
    <col min="35" max="35" width="14.5703125" customWidth="1"/>
    <col min="37" max="37" width="11.7109375" bestFit="1" customWidth="1"/>
    <col min="38" max="39" width="12.5703125" bestFit="1" customWidth="1"/>
  </cols>
  <sheetData>
    <row r="1" spans="1:37" ht="15.75" thickBot="1" x14ac:dyDescent="0.3"/>
    <row r="2" spans="1:37" x14ac:dyDescent="0.25">
      <c r="A2" s="89" t="s">
        <v>100</v>
      </c>
      <c r="B2" s="56">
        <v>0.5</v>
      </c>
      <c r="D2" s="197" t="s">
        <v>33</v>
      </c>
      <c r="E2" s="198"/>
      <c r="F2" s="198"/>
      <c r="G2" s="198"/>
      <c r="H2" s="198"/>
      <c r="I2" s="198"/>
      <c r="J2" s="198"/>
      <c r="K2" s="198"/>
      <c r="L2" s="199"/>
      <c r="M2" s="9"/>
      <c r="N2" s="9"/>
      <c r="O2" s="9"/>
      <c r="P2" s="197" t="s">
        <v>34</v>
      </c>
      <c r="Q2" s="207"/>
      <c r="R2" s="207"/>
      <c r="S2" s="207"/>
      <c r="T2" s="207"/>
      <c r="U2" s="207"/>
      <c r="V2" s="207"/>
      <c r="W2" s="207"/>
      <c r="X2" s="207"/>
      <c r="Y2" s="208"/>
      <c r="AC2" s="197" t="s">
        <v>90</v>
      </c>
      <c r="AD2" s="198"/>
      <c r="AE2" s="198"/>
      <c r="AF2" s="198"/>
      <c r="AG2" s="199"/>
      <c r="AH2" s="51"/>
      <c r="AI2" s="215" t="s">
        <v>91</v>
      </c>
      <c r="AJ2" s="216"/>
      <c r="AK2" s="217"/>
    </row>
    <row r="3" spans="1:37" ht="15.75" thickBot="1" x14ac:dyDescent="0.3">
      <c r="A3" s="89" t="s">
        <v>32</v>
      </c>
      <c r="B3" s="55"/>
      <c r="D3" s="200"/>
      <c r="E3" s="206"/>
      <c r="F3" s="206"/>
      <c r="G3" s="206"/>
      <c r="H3" s="206"/>
      <c r="I3" s="206"/>
      <c r="J3" s="206"/>
      <c r="K3" s="206"/>
      <c r="L3" s="202"/>
      <c r="M3" s="9"/>
      <c r="N3" s="9"/>
      <c r="O3" s="9"/>
      <c r="P3" s="209"/>
      <c r="Q3" s="210"/>
      <c r="R3" s="210"/>
      <c r="S3" s="210"/>
      <c r="T3" s="210"/>
      <c r="U3" s="210"/>
      <c r="V3" s="210"/>
      <c r="W3" s="210"/>
      <c r="X3" s="210"/>
      <c r="Y3" s="211"/>
      <c r="AC3" s="200"/>
      <c r="AD3" s="201"/>
      <c r="AE3" s="201"/>
      <c r="AF3" s="201"/>
      <c r="AG3" s="202"/>
      <c r="AH3" s="51"/>
      <c r="AI3" s="218"/>
      <c r="AJ3" s="219"/>
      <c r="AK3" s="220"/>
    </row>
    <row r="4" spans="1:37" ht="15" customHeight="1" thickBot="1" x14ac:dyDescent="0.3">
      <c r="A4" s="90" t="s">
        <v>160</v>
      </c>
      <c r="B4" s="54">
        <v>2021</v>
      </c>
      <c r="D4" s="203"/>
      <c r="E4" s="204"/>
      <c r="F4" s="204"/>
      <c r="G4" s="204"/>
      <c r="H4" s="204"/>
      <c r="I4" s="204"/>
      <c r="J4" s="204"/>
      <c r="K4" s="204"/>
      <c r="L4" s="205"/>
      <c r="M4" s="9"/>
      <c r="N4" s="9"/>
      <c r="O4" s="9"/>
      <c r="P4" s="196" t="str">
        <f>D5</f>
        <v>LITROS DE DESINFECTANTE</v>
      </c>
      <c r="Q4" s="196"/>
      <c r="R4" s="196"/>
      <c r="S4" s="196"/>
      <c r="T4" s="196"/>
      <c r="U4" s="196"/>
      <c r="V4" s="196"/>
      <c r="W4" s="196"/>
      <c r="X4" s="196"/>
      <c r="Y4" s="196"/>
      <c r="AC4" s="203"/>
      <c r="AD4" s="204"/>
      <c r="AE4" s="204"/>
      <c r="AF4" s="204"/>
      <c r="AG4" s="205"/>
      <c r="AH4" s="51"/>
      <c r="AI4" s="221"/>
      <c r="AJ4" s="222"/>
      <c r="AK4" s="223"/>
    </row>
    <row r="5" spans="1:37" ht="15.75" thickBot="1" x14ac:dyDescent="0.3">
      <c r="A5" s="90" t="s">
        <v>99</v>
      </c>
      <c r="B5" s="59">
        <f>B6/(1-B2)</f>
        <v>3780</v>
      </c>
      <c r="D5" s="212" t="str">
        <f>A4</f>
        <v>LITROS DE DESINFECTANTE</v>
      </c>
      <c r="E5" s="212"/>
      <c r="F5" s="212"/>
      <c r="G5" s="213">
        <v>0.19</v>
      </c>
      <c r="H5" s="212"/>
      <c r="I5" s="212"/>
      <c r="J5" s="91">
        <v>0.85</v>
      </c>
      <c r="K5" s="91"/>
      <c r="L5" s="91"/>
      <c r="M5" s="10"/>
      <c r="N5" s="10"/>
      <c r="O5" s="10"/>
      <c r="P5" s="94"/>
      <c r="Q5" s="95"/>
      <c r="R5" s="96"/>
      <c r="S5" s="97"/>
      <c r="T5" s="98">
        <v>0.19</v>
      </c>
      <c r="U5" s="99">
        <v>3.5000000000000003E-2</v>
      </c>
      <c r="V5" s="97"/>
      <c r="W5" s="98">
        <v>1</v>
      </c>
      <c r="X5" s="98"/>
      <c r="Y5" s="100"/>
      <c r="AC5" s="193" t="str">
        <f>P4</f>
        <v>LITROS DE DESINFECTANTE</v>
      </c>
      <c r="AD5" s="194"/>
      <c r="AE5" s="194"/>
      <c r="AF5" s="194"/>
      <c r="AG5" s="195"/>
      <c r="AI5" s="214" t="str">
        <f>A4</f>
        <v>LITROS DE DESINFECTANTE</v>
      </c>
      <c r="AJ5" s="214"/>
      <c r="AK5" s="214"/>
    </row>
    <row r="6" spans="1:37" ht="30.75" thickBot="1" x14ac:dyDescent="0.3">
      <c r="A6" s="90" t="s">
        <v>98</v>
      </c>
      <c r="B6" s="59">
        <v>1890</v>
      </c>
      <c r="D6" s="92" t="s">
        <v>0</v>
      </c>
      <c r="E6" s="92" t="s">
        <v>1</v>
      </c>
      <c r="F6" s="92" t="s">
        <v>2</v>
      </c>
      <c r="G6" s="92" t="s">
        <v>3</v>
      </c>
      <c r="H6" s="92" t="s">
        <v>4</v>
      </c>
      <c r="I6" s="92" t="s">
        <v>5</v>
      </c>
      <c r="J6" s="92" t="s">
        <v>28</v>
      </c>
      <c r="K6" s="92" t="s">
        <v>112</v>
      </c>
      <c r="L6" s="92" t="s">
        <v>113</v>
      </c>
      <c r="M6" s="11"/>
      <c r="N6" s="121" t="s">
        <v>24</v>
      </c>
      <c r="O6" s="11"/>
      <c r="P6" s="92" t="s">
        <v>0</v>
      </c>
      <c r="Q6" s="101" t="s">
        <v>1</v>
      </c>
      <c r="R6" s="92" t="s">
        <v>6</v>
      </c>
      <c r="S6" s="92" t="s">
        <v>7</v>
      </c>
      <c r="T6" s="92" t="s">
        <v>4</v>
      </c>
      <c r="U6" s="92" t="s">
        <v>8</v>
      </c>
      <c r="V6" s="92" t="s">
        <v>9</v>
      </c>
      <c r="W6" s="92" t="s">
        <v>28</v>
      </c>
      <c r="X6" s="92" t="s">
        <v>112</v>
      </c>
      <c r="Y6" s="92" t="s">
        <v>114</v>
      </c>
      <c r="AA6" s="92" t="s">
        <v>134</v>
      </c>
      <c r="AC6" s="92" t="s">
        <v>0</v>
      </c>
      <c r="AD6" s="92" t="s">
        <v>92</v>
      </c>
      <c r="AE6" s="92" t="s">
        <v>93</v>
      </c>
      <c r="AF6" s="92" t="s">
        <v>94</v>
      </c>
      <c r="AG6" s="92" t="s">
        <v>29</v>
      </c>
      <c r="AI6" s="75" t="s">
        <v>0</v>
      </c>
      <c r="AJ6" s="75" t="s">
        <v>8</v>
      </c>
      <c r="AK6" s="75" t="s">
        <v>29</v>
      </c>
    </row>
    <row r="7" spans="1:37" x14ac:dyDescent="0.25">
      <c r="D7" s="93" t="s">
        <v>10</v>
      </c>
      <c r="E7" s="3">
        <v>12789</v>
      </c>
      <c r="F7" s="60">
        <f t="shared" ref="F7:F18" si="0">$B$5</f>
        <v>3780</v>
      </c>
      <c r="G7" s="5">
        <f>E7*F7</f>
        <v>48342420</v>
      </c>
      <c r="H7" s="58">
        <f>G7*$G$5</f>
        <v>9185059.8000000007</v>
      </c>
      <c r="I7" s="5">
        <f>G7+H7</f>
        <v>57527479.799999997</v>
      </c>
      <c r="J7" s="5">
        <f>I7*$J$5</f>
        <v>48898357.829999998</v>
      </c>
      <c r="K7" s="5">
        <f>I7-J7</f>
        <v>8629121.9699999988</v>
      </c>
      <c r="L7" s="3"/>
      <c r="M7" s="12"/>
      <c r="N7" s="122">
        <f t="shared" ref="N7:N18" si="1">E7*$B$6</f>
        <v>24171210</v>
      </c>
      <c r="O7" s="12"/>
      <c r="P7" s="102" t="s">
        <v>10</v>
      </c>
      <c r="Q7" s="1">
        <v>12800</v>
      </c>
      <c r="R7" s="60">
        <f t="shared" ref="R7:R18" si="2">$B$6</f>
        <v>1890</v>
      </c>
      <c r="S7" s="6">
        <f>R7*Q7</f>
        <v>24192000</v>
      </c>
      <c r="T7" s="6">
        <f>S7*$T$5</f>
        <v>4596480</v>
      </c>
      <c r="U7" s="7">
        <f>S7*$U$5</f>
        <v>846720.00000000012</v>
      </c>
      <c r="V7" s="7">
        <f>S7+T7-U7</f>
        <v>27941760</v>
      </c>
      <c r="W7" s="7">
        <f>V7*$W$5</f>
        <v>27941760</v>
      </c>
      <c r="X7" s="7">
        <f>V7-W7</f>
        <v>0</v>
      </c>
      <c r="Y7" s="7">
        <f>X7</f>
        <v>0</v>
      </c>
      <c r="AA7" s="86">
        <f t="shared" ref="AA7:AA18" si="3">(Q7-E7)*$B$6</f>
        <v>20790</v>
      </c>
      <c r="AC7" s="102" t="s">
        <v>10</v>
      </c>
      <c r="AD7" s="6">
        <f t="shared" ref="AD7:AD18" si="4">H7</f>
        <v>9185059.8000000007</v>
      </c>
      <c r="AE7" s="6">
        <f>T7</f>
        <v>4596480</v>
      </c>
      <c r="AF7" s="6">
        <f>AD7-AE7</f>
        <v>4588579.8000000007</v>
      </c>
      <c r="AG7" s="1"/>
      <c r="AI7" s="1" t="s">
        <v>10</v>
      </c>
      <c r="AJ7" s="6">
        <f>U7</f>
        <v>846720.00000000012</v>
      </c>
      <c r="AK7" s="1"/>
    </row>
    <row r="8" spans="1:37" x14ac:dyDescent="0.25">
      <c r="B8" s="2"/>
      <c r="D8" s="93" t="s">
        <v>11</v>
      </c>
      <c r="E8" s="3">
        <v>12890</v>
      </c>
      <c r="F8" s="60">
        <f t="shared" si="0"/>
        <v>3780</v>
      </c>
      <c r="G8" s="5">
        <f t="shared" ref="G8:G18" si="5">E8*F8</f>
        <v>48724200</v>
      </c>
      <c r="H8" s="58">
        <f t="shared" ref="H8:H18" si="6">G8*$G$5</f>
        <v>9257598</v>
      </c>
      <c r="I8" s="5">
        <f t="shared" ref="I8:I18" si="7">G8+H8</f>
        <v>57981798</v>
      </c>
      <c r="J8" s="5">
        <f t="shared" ref="J8:J18" si="8">I8*$J$5</f>
        <v>49284528.299999997</v>
      </c>
      <c r="K8" s="5">
        <f>I8-J8</f>
        <v>8697269.700000003</v>
      </c>
      <c r="L8" s="5">
        <f>K7</f>
        <v>8629121.9699999988</v>
      </c>
      <c r="M8" s="13"/>
      <c r="N8" s="123">
        <f t="shared" si="1"/>
        <v>24362100</v>
      </c>
      <c r="O8" s="13"/>
      <c r="P8" s="102" t="s">
        <v>11</v>
      </c>
      <c r="Q8" s="1">
        <v>12900</v>
      </c>
      <c r="R8" s="60">
        <f t="shared" si="2"/>
        <v>1890</v>
      </c>
      <c r="S8" s="6">
        <f>R8*Q8</f>
        <v>24381000</v>
      </c>
      <c r="T8" s="6">
        <f>S8*$T$5</f>
        <v>4632390</v>
      </c>
      <c r="U8" s="7">
        <f>S8*$U$5</f>
        <v>853335.00000000012</v>
      </c>
      <c r="V8" s="7">
        <f>S8+T8-U8</f>
        <v>28160055</v>
      </c>
      <c r="W8" s="7">
        <f t="shared" ref="W8:W18" si="9">V8*$W$5</f>
        <v>28160055</v>
      </c>
      <c r="X8" s="7">
        <f t="shared" ref="X8:X18" si="10">V8-W8</f>
        <v>0</v>
      </c>
      <c r="Y8" s="7">
        <f t="shared" ref="Y8:Y18" si="11">X8</f>
        <v>0</v>
      </c>
      <c r="AA8" s="86">
        <f t="shared" si="3"/>
        <v>18900</v>
      </c>
      <c r="AC8" s="102" t="s">
        <v>11</v>
      </c>
      <c r="AD8" s="6">
        <f t="shared" si="4"/>
        <v>9257598</v>
      </c>
      <c r="AE8" s="6">
        <f t="shared" ref="AE8:AE18" si="12">T8</f>
        <v>4632390</v>
      </c>
      <c r="AF8" s="6">
        <f t="shared" ref="AF8:AF18" si="13">AD8-AE8</f>
        <v>4625208</v>
      </c>
      <c r="AG8" s="1"/>
      <c r="AI8" s="1" t="s">
        <v>11</v>
      </c>
      <c r="AJ8" s="6">
        <f t="shared" ref="AJ8:AJ18" si="14">U8</f>
        <v>853335.00000000012</v>
      </c>
      <c r="AK8" s="6">
        <f>AJ7</f>
        <v>846720.00000000012</v>
      </c>
    </row>
    <row r="9" spans="1:37" ht="16.5" customHeight="1" x14ac:dyDescent="0.25">
      <c r="D9" s="93" t="s">
        <v>12</v>
      </c>
      <c r="E9" s="3">
        <v>12860</v>
      </c>
      <c r="F9" s="60">
        <f t="shared" si="0"/>
        <v>3780</v>
      </c>
      <c r="G9" s="5">
        <f t="shared" si="5"/>
        <v>48610800</v>
      </c>
      <c r="H9" s="58">
        <f t="shared" si="6"/>
        <v>9236052</v>
      </c>
      <c r="I9" s="5">
        <f t="shared" si="7"/>
        <v>57846852</v>
      </c>
      <c r="J9" s="5">
        <f t="shared" si="8"/>
        <v>49169824.199999996</v>
      </c>
      <c r="K9" s="5">
        <f t="shared" ref="K9:K18" si="15">I9-J9</f>
        <v>8677027.8000000045</v>
      </c>
      <c r="L9" s="5">
        <f t="shared" ref="L9:L19" si="16">K8</f>
        <v>8697269.700000003</v>
      </c>
      <c r="M9" s="13"/>
      <c r="N9" s="123">
        <f t="shared" si="1"/>
        <v>24305400</v>
      </c>
      <c r="O9" s="13"/>
      <c r="P9" s="102" t="s">
        <v>12</v>
      </c>
      <c r="Q9" s="1">
        <v>12850</v>
      </c>
      <c r="R9" s="60">
        <f t="shared" si="2"/>
        <v>1890</v>
      </c>
      <c r="S9" s="6">
        <f>R9*Q9</f>
        <v>24286500</v>
      </c>
      <c r="T9" s="6">
        <f>S9*$T$5</f>
        <v>4614435</v>
      </c>
      <c r="U9" s="7">
        <f t="shared" ref="U9:U18" si="17">S9*$U$5</f>
        <v>850027.50000000012</v>
      </c>
      <c r="V9" s="7">
        <f>S9+T9-U9</f>
        <v>28050907.5</v>
      </c>
      <c r="W9" s="7">
        <f t="shared" si="9"/>
        <v>28050907.5</v>
      </c>
      <c r="X9" s="7">
        <f t="shared" si="10"/>
        <v>0</v>
      </c>
      <c r="Y9" s="7">
        <f t="shared" si="11"/>
        <v>0</v>
      </c>
      <c r="AA9" s="86">
        <f t="shared" si="3"/>
        <v>-18900</v>
      </c>
      <c r="AC9" s="102" t="s">
        <v>12</v>
      </c>
      <c r="AD9" s="6">
        <f t="shared" si="4"/>
        <v>9236052</v>
      </c>
      <c r="AE9" s="6">
        <f t="shared" si="12"/>
        <v>4614435</v>
      </c>
      <c r="AF9" s="6">
        <f t="shared" si="13"/>
        <v>4621617</v>
      </c>
      <c r="AG9" s="6">
        <f>AF8+AF7</f>
        <v>9213787.8000000007</v>
      </c>
      <c r="AI9" s="1" t="s">
        <v>12</v>
      </c>
      <c r="AJ9" s="6">
        <f t="shared" si="14"/>
        <v>850027.50000000012</v>
      </c>
      <c r="AK9" s="6">
        <f>AJ8</f>
        <v>853335.00000000012</v>
      </c>
    </row>
    <row r="10" spans="1:37" ht="16.5" customHeight="1" x14ac:dyDescent="0.25">
      <c r="D10" s="93" t="s">
        <v>13</v>
      </c>
      <c r="E10" s="3">
        <v>12800</v>
      </c>
      <c r="F10" s="60">
        <f t="shared" si="0"/>
        <v>3780</v>
      </c>
      <c r="G10" s="5">
        <f t="shared" si="5"/>
        <v>48384000</v>
      </c>
      <c r="H10" s="58">
        <f t="shared" si="6"/>
        <v>9192960</v>
      </c>
      <c r="I10" s="5">
        <f t="shared" si="7"/>
        <v>57576960</v>
      </c>
      <c r="J10" s="5">
        <f t="shared" si="8"/>
        <v>48940416</v>
      </c>
      <c r="K10" s="5">
        <f t="shared" si="15"/>
        <v>8636544</v>
      </c>
      <c r="L10" s="5">
        <f t="shared" si="16"/>
        <v>8677027.8000000045</v>
      </c>
      <c r="M10" s="13"/>
      <c r="N10" s="123">
        <f t="shared" si="1"/>
        <v>24192000</v>
      </c>
      <c r="O10" s="13"/>
      <c r="P10" s="102" t="s">
        <v>13</v>
      </c>
      <c r="Q10" s="1">
        <v>12790</v>
      </c>
      <c r="R10" s="60">
        <f t="shared" si="2"/>
        <v>1890</v>
      </c>
      <c r="S10" s="6">
        <f t="shared" ref="S10:S18" si="18">R10*Q10</f>
        <v>24173100</v>
      </c>
      <c r="T10" s="6">
        <f>S10*$T$5</f>
        <v>4592889</v>
      </c>
      <c r="U10" s="7">
        <f t="shared" si="17"/>
        <v>846058.50000000012</v>
      </c>
      <c r="V10" s="7">
        <f>S10+T10-U10</f>
        <v>27919930.5</v>
      </c>
      <c r="W10" s="7">
        <f t="shared" si="9"/>
        <v>27919930.5</v>
      </c>
      <c r="X10" s="7">
        <f t="shared" si="10"/>
        <v>0</v>
      </c>
      <c r="Y10" s="7">
        <f t="shared" si="11"/>
        <v>0</v>
      </c>
      <c r="AA10" s="86">
        <f t="shared" si="3"/>
        <v>-18900</v>
      </c>
      <c r="AC10" s="102" t="s">
        <v>13</v>
      </c>
      <c r="AD10" s="6">
        <f t="shared" si="4"/>
        <v>9192960</v>
      </c>
      <c r="AE10" s="6">
        <f t="shared" si="12"/>
        <v>4592889</v>
      </c>
      <c r="AF10" s="6">
        <f t="shared" si="13"/>
        <v>4600071</v>
      </c>
      <c r="AG10" s="1"/>
      <c r="AI10" s="1" t="s">
        <v>13</v>
      </c>
      <c r="AJ10" s="6">
        <f t="shared" si="14"/>
        <v>846058.50000000012</v>
      </c>
      <c r="AK10" s="6">
        <f t="shared" ref="AK10:AK18" si="19">AJ9</f>
        <v>850027.50000000012</v>
      </c>
    </row>
    <row r="11" spans="1:37" ht="16.5" customHeight="1" x14ac:dyDescent="0.25">
      <c r="D11" s="93" t="s">
        <v>14</v>
      </c>
      <c r="E11" s="3">
        <v>12890</v>
      </c>
      <c r="F11" s="60">
        <f t="shared" si="0"/>
        <v>3780</v>
      </c>
      <c r="G11" s="5">
        <f t="shared" si="5"/>
        <v>48724200</v>
      </c>
      <c r="H11" s="58">
        <f t="shared" si="6"/>
        <v>9257598</v>
      </c>
      <c r="I11" s="5">
        <f t="shared" si="7"/>
        <v>57981798</v>
      </c>
      <c r="J11" s="5">
        <f t="shared" si="8"/>
        <v>49284528.299999997</v>
      </c>
      <c r="K11" s="5">
        <f t="shared" si="15"/>
        <v>8697269.700000003</v>
      </c>
      <c r="L11" s="5">
        <f t="shared" si="16"/>
        <v>8636544</v>
      </c>
      <c r="M11" s="13"/>
      <c r="N11" s="123">
        <f t="shared" si="1"/>
        <v>24362100</v>
      </c>
      <c r="O11" s="13"/>
      <c r="P11" s="102" t="s">
        <v>14</v>
      </c>
      <c r="Q11" s="1">
        <v>12900</v>
      </c>
      <c r="R11" s="60">
        <f t="shared" si="2"/>
        <v>1890</v>
      </c>
      <c r="S11" s="6">
        <f>R11*Q11</f>
        <v>24381000</v>
      </c>
      <c r="T11" s="6">
        <f t="shared" ref="T11:T18" si="20">S11*$T$5</f>
        <v>4632390</v>
      </c>
      <c r="U11" s="7">
        <f t="shared" si="17"/>
        <v>853335.00000000012</v>
      </c>
      <c r="V11" s="7">
        <f t="shared" ref="V11:V18" si="21">S11+T11-U11</f>
        <v>28160055</v>
      </c>
      <c r="W11" s="7">
        <f t="shared" si="9"/>
        <v>28160055</v>
      </c>
      <c r="X11" s="7">
        <f t="shared" si="10"/>
        <v>0</v>
      </c>
      <c r="Y11" s="7">
        <f t="shared" si="11"/>
        <v>0</v>
      </c>
      <c r="AA11" s="86">
        <f t="shared" si="3"/>
        <v>18900</v>
      </c>
      <c r="AC11" s="102" t="s">
        <v>14</v>
      </c>
      <c r="AD11" s="6">
        <f t="shared" si="4"/>
        <v>9257598</v>
      </c>
      <c r="AE11" s="6">
        <f t="shared" si="12"/>
        <v>4632390</v>
      </c>
      <c r="AF11" s="6">
        <f t="shared" si="13"/>
        <v>4625208</v>
      </c>
      <c r="AG11" s="6">
        <f>AF10+AF9</f>
        <v>9221688</v>
      </c>
      <c r="AI11" s="1" t="s">
        <v>14</v>
      </c>
      <c r="AJ11" s="6">
        <f t="shared" si="14"/>
        <v>853335.00000000012</v>
      </c>
      <c r="AK11" s="6">
        <f t="shared" si="19"/>
        <v>846058.50000000012</v>
      </c>
    </row>
    <row r="12" spans="1:37" ht="16.5" customHeight="1" x14ac:dyDescent="0.25">
      <c r="D12" s="93" t="s">
        <v>15</v>
      </c>
      <c r="E12" s="3">
        <v>12970</v>
      </c>
      <c r="F12" s="60">
        <f t="shared" si="0"/>
        <v>3780</v>
      </c>
      <c r="G12" s="5">
        <f t="shared" si="5"/>
        <v>49026600</v>
      </c>
      <c r="H12" s="58">
        <f t="shared" si="6"/>
        <v>9315054</v>
      </c>
      <c r="I12" s="5">
        <f t="shared" si="7"/>
        <v>58341654</v>
      </c>
      <c r="J12" s="5">
        <f t="shared" si="8"/>
        <v>49590405.899999999</v>
      </c>
      <c r="K12" s="5">
        <f t="shared" si="15"/>
        <v>8751248.1000000015</v>
      </c>
      <c r="L12" s="5">
        <f t="shared" si="16"/>
        <v>8697269.700000003</v>
      </c>
      <c r="M12" s="13"/>
      <c r="N12" s="123">
        <f t="shared" si="1"/>
        <v>24513300</v>
      </c>
      <c r="O12" s="13"/>
      <c r="P12" s="102" t="s">
        <v>15</v>
      </c>
      <c r="Q12" s="1">
        <v>13000</v>
      </c>
      <c r="R12" s="60">
        <f t="shared" si="2"/>
        <v>1890</v>
      </c>
      <c r="S12" s="6">
        <f t="shared" si="18"/>
        <v>24570000</v>
      </c>
      <c r="T12" s="6">
        <f t="shared" si="20"/>
        <v>4668300</v>
      </c>
      <c r="U12" s="7">
        <f t="shared" si="17"/>
        <v>859950.00000000012</v>
      </c>
      <c r="V12" s="7">
        <f t="shared" si="21"/>
        <v>28378350</v>
      </c>
      <c r="W12" s="7">
        <f t="shared" si="9"/>
        <v>28378350</v>
      </c>
      <c r="X12" s="7">
        <f t="shared" si="10"/>
        <v>0</v>
      </c>
      <c r="Y12" s="7">
        <f t="shared" si="11"/>
        <v>0</v>
      </c>
      <c r="AA12" s="86">
        <f t="shared" si="3"/>
        <v>56700</v>
      </c>
      <c r="AC12" s="102" t="s">
        <v>15</v>
      </c>
      <c r="AD12" s="6">
        <f t="shared" si="4"/>
        <v>9315054</v>
      </c>
      <c r="AE12" s="6">
        <f t="shared" si="12"/>
        <v>4668300</v>
      </c>
      <c r="AF12" s="6">
        <f t="shared" si="13"/>
        <v>4646754</v>
      </c>
      <c r="AG12" s="1"/>
      <c r="AI12" s="1" t="s">
        <v>15</v>
      </c>
      <c r="AJ12" s="6">
        <f t="shared" si="14"/>
        <v>859950.00000000012</v>
      </c>
      <c r="AK12" s="6">
        <f t="shared" si="19"/>
        <v>853335.00000000012</v>
      </c>
    </row>
    <row r="13" spans="1:37" ht="16.5" customHeight="1" x14ac:dyDescent="0.25">
      <c r="D13" s="93" t="s">
        <v>16</v>
      </c>
      <c r="E13" s="3">
        <v>13000</v>
      </c>
      <c r="F13" s="60">
        <f t="shared" si="0"/>
        <v>3780</v>
      </c>
      <c r="G13" s="5">
        <f t="shared" si="5"/>
        <v>49140000</v>
      </c>
      <c r="H13" s="58">
        <f t="shared" si="6"/>
        <v>9336600</v>
      </c>
      <c r="I13" s="5">
        <f t="shared" si="7"/>
        <v>58476600</v>
      </c>
      <c r="J13" s="5">
        <f t="shared" si="8"/>
        <v>49705110</v>
      </c>
      <c r="K13" s="5">
        <f t="shared" si="15"/>
        <v>8771490</v>
      </c>
      <c r="L13" s="5">
        <f t="shared" si="16"/>
        <v>8751248.1000000015</v>
      </c>
      <c r="M13" s="13"/>
      <c r="N13" s="123">
        <f t="shared" si="1"/>
        <v>24570000</v>
      </c>
      <c r="O13" s="13"/>
      <c r="P13" s="102" t="s">
        <v>16</v>
      </c>
      <c r="Q13" s="1">
        <v>12980</v>
      </c>
      <c r="R13" s="60">
        <f t="shared" si="2"/>
        <v>1890</v>
      </c>
      <c r="S13" s="6">
        <f t="shared" si="18"/>
        <v>24532200</v>
      </c>
      <c r="T13" s="6">
        <f t="shared" si="20"/>
        <v>4661118</v>
      </c>
      <c r="U13" s="7">
        <f t="shared" si="17"/>
        <v>858627.00000000012</v>
      </c>
      <c r="V13" s="7">
        <f t="shared" si="21"/>
        <v>28334691</v>
      </c>
      <c r="W13" s="7">
        <f t="shared" si="9"/>
        <v>28334691</v>
      </c>
      <c r="X13" s="7">
        <f t="shared" si="10"/>
        <v>0</v>
      </c>
      <c r="Y13" s="7">
        <f t="shared" si="11"/>
        <v>0</v>
      </c>
      <c r="AA13" s="86">
        <f t="shared" si="3"/>
        <v>-37800</v>
      </c>
      <c r="AC13" s="102" t="s">
        <v>16</v>
      </c>
      <c r="AD13" s="6">
        <f t="shared" si="4"/>
        <v>9336600</v>
      </c>
      <c r="AE13" s="6">
        <f t="shared" si="12"/>
        <v>4661118</v>
      </c>
      <c r="AF13" s="6">
        <f t="shared" si="13"/>
        <v>4675482</v>
      </c>
      <c r="AG13" s="6">
        <f>AF11+AF12</f>
        <v>9271962</v>
      </c>
      <c r="AI13" s="1" t="s">
        <v>16</v>
      </c>
      <c r="AJ13" s="6">
        <f t="shared" si="14"/>
        <v>858627.00000000012</v>
      </c>
      <c r="AK13" s="6">
        <f t="shared" si="19"/>
        <v>859950.00000000012</v>
      </c>
    </row>
    <row r="14" spans="1:37" ht="16.5" customHeight="1" x14ac:dyDescent="0.25">
      <c r="D14" s="93" t="s">
        <v>17</v>
      </c>
      <c r="E14" s="3">
        <v>12860</v>
      </c>
      <c r="F14" s="60">
        <f t="shared" si="0"/>
        <v>3780</v>
      </c>
      <c r="G14" s="5">
        <f t="shared" si="5"/>
        <v>48610800</v>
      </c>
      <c r="H14" s="58">
        <f t="shared" si="6"/>
        <v>9236052</v>
      </c>
      <c r="I14" s="5">
        <f t="shared" si="7"/>
        <v>57846852</v>
      </c>
      <c r="J14" s="5">
        <f t="shared" si="8"/>
        <v>49169824.199999996</v>
      </c>
      <c r="K14" s="5">
        <f t="shared" si="15"/>
        <v>8677027.8000000045</v>
      </c>
      <c r="L14" s="5">
        <f t="shared" si="16"/>
        <v>8771490</v>
      </c>
      <c r="M14" s="13"/>
      <c r="N14" s="123">
        <f t="shared" si="1"/>
        <v>24305400</v>
      </c>
      <c r="O14" s="13"/>
      <c r="P14" s="102" t="s">
        <v>17</v>
      </c>
      <c r="Q14" s="1">
        <v>12850</v>
      </c>
      <c r="R14" s="60">
        <f t="shared" si="2"/>
        <v>1890</v>
      </c>
      <c r="S14" s="6">
        <f t="shared" si="18"/>
        <v>24286500</v>
      </c>
      <c r="T14" s="6">
        <f t="shared" si="20"/>
        <v>4614435</v>
      </c>
      <c r="U14" s="7">
        <f t="shared" si="17"/>
        <v>850027.50000000012</v>
      </c>
      <c r="V14" s="7">
        <f t="shared" si="21"/>
        <v>28050907.5</v>
      </c>
      <c r="W14" s="7">
        <f t="shared" si="9"/>
        <v>28050907.5</v>
      </c>
      <c r="X14" s="7">
        <f t="shared" si="10"/>
        <v>0</v>
      </c>
      <c r="Y14" s="7">
        <f t="shared" si="11"/>
        <v>0</v>
      </c>
      <c r="AA14" s="86">
        <f t="shared" si="3"/>
        <v>-18900</v>
      </c>
      <c r="AC14" s="102" t="s">
        <v>17</v>
      </c>
      <c r="AD14" s="6">
        <f t="shared" si="4"/>
        <v>9236052</v>
      </c>
      <c r="AE14" s="6">
        <f t="shared" si="12"/>
        <v>4614435</v>
      </c>
      <c r="AF14" s="6">
        <f t="shared" si="13"/>
        <v>4621617</v>
      </c>
      <c r="AG14" s="1"/>
      <c r="AI14" s="1" t="s">
        <v>17</v>
      </c>
      <c r="AJ14" s="6">
        <f t="shared" si="14"/>
        <v>850027.50000000012</v>
      </c>
      <c r="AK14" s="6">
        <f t="shared" si="19"/>
        <v>858627.00000000012</v>
      </c>
    </row>
    <row r="15" spans="1:37" ht="33.75" customHeight="1" x14ac:dyDescent="0.25">
      <c r="D15" s="93" t="s">
        <v>18</v>
      </c>
      <c r="E15" s="3">
        <v>12960</v>
      </c>
      <c r="F15" s="60">
        <f t="shared" si="0"/>
        <v>3780</v>
      </c>
      <c r="G15" s="5">
        <f t="shared" si="5"/>
        <v>48988800</v>
      </c>
      <c r="H15" s="58">
        <f t="shared" si="6"/>
        <v>9307872</v>
      </c>
      <c r="I15" s="5">
        <f t="shared" si="7"/>
        <v>58296672</v>
      </c>
      <c r="J15" s="5">
        <f t="shared" si="8"/>
        <v>49552171.199999996</v>
      </c>
      <c r="K15" s="5">
        <f t="shared" si="15"/>
        <v>8744500.8000000045</v>
      </c>
      <c r="L15" s="5">
        <f t="shared" si="16"/>
        <v>8677027.8000000045</v>
      </c>
      <c r="M15" s="13"/>
      <c r="N15" s="123">
        <f t="shared" si="1"/>
        <v>24494400</v>
      </c>
      <c r="O15" s="13"/>
      <c r="P15" s="102" t="s">
        <v>18</v>
      </c>
      <c r="Q15" s="1">
        <v>12970</v>
      </c>
      <c r="R15" s="60">
        <f t="shared" si="2"/>
        <v>1890</v>
      </c>
      <c r="S15" s="6">
        <f t="shared" si="18"/>
        <v>24513300</v>
      </c>
      <c r="T15" s="6">
        <f t="shared" si="20"/>
        <v>4657527</v>
      </c>
      <c r="U15" s="7">
        <f t="shared" si="17"/>
        <v>857965.50000000012</v>
      </c>
      <c r="V15" s="7">
        <f t="shared" si="21"/>
        <v>28312861.5</v>
      </c>
      <c r="W15" s="7">
        <f t="shared" si="9"/>
        <v>28312861.5</v>
      </c>
      <c r="X15" s="7">
        <f t="shared" si="10"/>
        <v>0</v>
      </c>
      <c r="Y15" s="7">
        <f t="shared" si="11"/>
        <v>0</v>
      </c>
      <c r="AA15" s="86">
        <f t="shared" si="3"/>
        <v>18900</v>
      </c>
      <c r="AC15" s="102" t="s">
        <v>18</v>
      </c>
      <c r="AD15" s="6">
        <f t="shared" si="4"/>
        <v>9307872</v>
      </c>
      <c r="AE15" s="6">
        <f t="shared" si="12"/>
        <v>4657527</v>
      </c>
      <c r="AF15" s="6">
        <f t="shared" si="13"/>
        <v>4650345</v>
      </c>
      <c r="AG15" s="6">
        <f>AF14+AF13</f>
        <v>9297099</v>
      </c>
      <c r="AI15" s="1" t="s">
        <v>18</v>
      </c>
      <c r="AJ15" s="6">
        <f t="shared" si="14"/>
        <v>857965.50000000012</v>
      </c>
      <c r="AK15" s="6">
        <f t="shared" si="19"/>
        <v>850027.50000000012</v>
      </c>
    </row>
    <row r="16" spans="1:37" ht="16.5" customHeight="1" x14ac:dyDescent="0.25">
      <c r="D16" s="93" t="s">
        <v>19</v>
      </c>
      <c r="E16" s="3">
        <v>13020</v>
      </c>
      <c r="F16" s="60">
        <f t="shared" si="0"/>
        <v>3780</v>
      </c>
      <c r="G16" s="5">
        <f t="shared" si="5"/>
        <v>49215600</v>
      </c>
      <c r="H16" s="58">
        <f t="shared" si="6"/>
        <v>9350964</v>
      </c>
      <c r="I16" s="5">
        <f t="shared" si="7"/>
        <v>58566564</v>
      </c>
      <c r="J16" s="5">
        <f t="shared" si="8"/>
        <v>49781579.399999999</v>
      </c>
      <c r="K16" s="5">
        <f t="shared" si="15"/>
        <v>8784984.6000000015</v>
      </c>
      <c r="L16" s="5">
        <f t="shared" si="16"/>
        <v>8744500.8000000045</v>
      </c>
      <c r="M16" s="13"/>
      <c r="N16" s="123">
        <f t="shared" si="1"/>
        <v>24607800</v>
      </c>
      <c r="O16" s="13"/>
      <c r="P16" s="102" t="s">
        <v>19</v>
      </c>
      <c r="Q16" s="1">
        <v>13000</v>
      </c>
      <c r="R16" s="60">
        <f t="shared" si="2"/>
        <v>1890</v>
      </c>
      <c r="S16" s="6">
        <f t="shared" si="18"/>
        <v>24570000</v>
      </c>
      <c r="T16" s="6">
        <f t="shared" si="20"/>
        <v>4668300</v>
      </c>
      <c r="U16" s="7">
        <f t="shared" si="17"/>
        <v>859950.00000000012</v>
      </c>
      <c r="V16" s="7">
        <f t="shared" si="21"/>
        <v>28378350</v>
      </c>
      <c r="W16" s="7">
        <f t="shared" si="9"/>
        <v>28378350</v>
      </c>
      <c r="X16" s="7">
        <f t="shared" si="10"/>
        <v>0</v>
      </c>
      <c r="Y16" s="7">
        <f t="shared" si="11"/>
        <v>0</v>
      </c>
      <c r="AA16" s="86">
        <f t="shared" si="3"/>
        <v>-37800</v>
      </c>
      <c r="AC16" s="102" t="s">
        <v>19</v>
      </c>
      <c r="AD16" s="6">
        <f t="shared" si="4"/>
        <v>9350964</v>
      </c>
      <c r="AE16" s="6">
        <f t="shared" si="12"/>
        <v>4668300</v>
      </c>
      <c r="AF16" s="6">
        <f t="shared" si="13"/>
        <v>4682664</v>
      </c>
      <c r="AG16" s="1"/>
      <c r="AI16" s="1" t="s">
        <v>19</v>
      </c>
      <c r="AJ16" s="6">
        <f t="shared" si="14"/>
        <v>859950.00000000012</v>
      </c>
      <c r="AK16" s="6">
        <f t="shared" si="19"/>
        <v>857965.50000000012</v>
      </c>
    </row>
    <row r="17" spans="1:37" ht="23.25" customHeight="1" x14ac:dyDescent="0.25">
      <c r="D17" s="93" t="s">
        <v>20</v>
      </c>
      <c r="E17" s="3">
        <v>12880</v>
      </c>
      <c r="F17" s="60">
        <f t="shared" si="0"/>
        <v>3780</v>
      </c>
      <c r="G17" s="5">
        <f t="shared" si="5"/>
        <v>48686400</v>
      </c>
      <c r="H17" s="58">
        <f t="shared" si="6"/>
        <v>9250416</v>
      </c>
      <c r="I17" s="5">
        <f t="shared" si="7"/>
        <v>57936816</v>
      </c>
      <c r="J17" s="5">
        <f t="shared" si="8"/>
        <v>49246293.600000001</v>
      </c>
      <c r="K17" s="5">
        <f t="shared" si="15"/>
        <v>8690522.3999999985</v>
      </c>
      <c r="L17" s="5">
        <f t="shared" si="16"/>
        <v>8784984.6000000015</v>
      </c>
      <c r="M17" s="13"/>
      <c r="N17" s="123">
        <f t="shared" si="1"/>
        <v>24343200</v>
      </c>
      <c r="O17" s="13"/>
      <c r="P17" s="102" t="s">
        <v>20</v>
      </c>
      <c r="Q17" s="1">
        <v>12890</v>
      </c>
      <c r="R17" s="60">
        <f t="shared" si="2"/>
        <v>1890</v>
      </c>
      <c r="S17" s="6">
        <f t="shared" si="18"/>
        <v>24362100</v>
      </c>
      <c r="T17" s="6">
        <f t="shared" si="20"/>
        <v>4628799</v>
      </c>
      <c r="U17" s="7">
        <f t="shared" si="17"/>
        <v>852673.50000000012</v>
      </c>
      <c r="V17" s="7">
        <f t="shared" si="21"/>
        <v>28138225.5</v>
      </c>
      <c r="W17" s="7">
        <f t="shared" si="9"/>
        <v>28138225.5</v>
      </c>
      <c r="X17" s="7">
        <f t="shared" si="10"/>
        <v>0</v>
      </c>
      <c r="Y17" s="7">
        <f t="shared" si="11"/>
        <v>0</v>
      </c>
      <c r="AA17" s="86">
        <f t="shared" si="3"/>
        <v>18900</v>
      </c>
      <c r="AC17" s="102" t="s">
        <v>20</v>
      </c>
      <c r="AD17" s="6">
        <f t="shared" si="4"/>
        <v>9250416</v>
      </c>
      <c r="AE17" s="6">
        <f t="shared" si="12"/>
        <v>4628799</v>
      </c>
      <c r="AF17" s="6">
        <f t="shared" si="13"/>
        <v>4621617</v>
      </c>
      <c r="AG17" s="6">
        <f>AF16+AF15</f>
        <v>9333009</v>
      </c>
      <c r="AI17" s="1" t="s">
        <v>20</v>
      </c>
      <c r="AJ17" s="6">
        <f t="shared" si="14"/>
        <v>852673.50000000012</v>
      </c>
      <c r="AK17" s="6">
        <f t="shared" si="19"/>
        <v>859950.00000000012</v>
      </c>
    </row>
    <row r="18" spans="1:37" ht="16.5" customHeight="1" x14ac:dyDescent="0.25">
      <c r="A18" s="77"/>
      <c r="D18" s="93" t="s">
        <v>21</v>
      </c>
      <c r="E18" s="3">
        <v>12960</v>
      </c>
      <c r="F18" s="60">
        <f t="shared" si="0"/>
        <v>3780</v>
      </c>
      <c r="G18" s="5">
        <f t="shared" si="5"/>
        <v>48988800</v>
      </c>
      <c r="H18" s="58">
        <f t="shared" si="6"/>
        <v>9307872</v>
      </c>
      <c r="I18" s="5">
        <f t="shared" si="7"/>
        <v>58296672</v>
      </c>
      <c r="J18" s="5">
        <f t="shared" si="8"/>
        <v>49552171.199999996</v>
      </c>
      <c r="K18" s="5">
        <f t="shared" si="15"/>
        <v>8744500.8000000045</v>
      </c>
      <c r="L18" s="5">
        <f t="shared" si="16"/>
        <v>8690522.3999999985</v>
      </c>
      <c r="M18" s="13"/>
      <c r="N18" s="123">
        <f t="shared" si="1"/>
        <v>24494400</v>
      </c>
      <c r="O18" s="13"/>
      <c r="P18" s="102" t="s">
        <v>21</v>
      </c>
      <c r="Q18" s="1">
        <v>12950</v>
      </c>
      <c r="R18" s="60">
        <f t="shared" si="2"/>
        <v>1890</v>
      </c>
      <c r="S18" s="6">
        <f t="shared" si="18"/>
        <v>24475500</v>
      </c>
      <c r="T18" s="6">
        <f t="shared" si="20"/>
        <v>4650345</v>
      </c>
      <c r="U18" s="7">
        <f t="shared" si="17"/>
        <v>856642.50000000012</v>
      </c>
      <c r="V18" s="7">
        <f t="shared" si="21"/>
        <v>28269202.5</v>
      </c>
      <c r="W18" s="7">
        <f t="shared" si="9"/>
        <v>28269202.5</v>
      </c>
      <c r="X18" s="7">
        <f t="shared" si="10"/>
        <v>0</v>
      </c>
      <c r="Y18" s="7">
        <f t="shared" si="11"/>
        <v>0</v>
      </c>
      <c r="AA18" s="86">
        <f t="shared" si="3"/>
        <v>-18900</v>
      </c>
      <c r="AC18" s="102" t="s">
        <v>21</v>
      </c>
      <c r="AD18" s="6">
        <f t="shared" si="4"/>
        <v>9307872</v>
      </c>
      <c r="AE18" s="6">
        <f t="shared" si="12"/>
        <v>4650345</v>
      </c>
      <c r="AF18" s="6">
        <f t="shared" si="13"/>
        <v>4657527</v>
      </c>
      <c r="AG18" s="1"/>
      <c r="AI18" s="1" t="s">
        <v>21</v>
      </c>
      <c r="AJ18" s="6">
        <f t="shared" si="14"/>
        <v>856642.50000000012</v>
      </c>
      <c r="AK18" s="6">
        <f t="shared" si="19"/>
        <v>852673.50000000012</v>
      </c>
    </row>
    <row r="19" spans="1:37" ht="16.5" customHeight="1" x14ac:dyDescent="0.25">
      <c r="D19" s="93" t="s">
        <v>10</v>
      </c>
      <c r="E19" s="12"/>
      <c r="F19" s="17"/>
      <c r="G19" s="13"/>
      <c r="H19" s="18"/>
      <c r="I19" s="13"/>
      <c r="J19" s="13"/>
      <c r="K19" s="13"/>
      <c r="L19" s="5">
        <f t="shared" si="16"/>
        <v>8744500.8000000045</v>
      </c>
      <c r="M19" s="13"/>
      <c r="N19" s="123"/>
      <c r="O19" s="13"/>
      <c r="P19" s="102" t="s">
        <v>10</v>
      </c>
      <c r="Q19" s="19"/>
      <c r="R19" s="20"/>
      <c r="S19" s="21"/>
      <c r="T19" s="21"/>
      <c r="U19" s="7"/>
      <c r="V19" s="22"/>
      <c r="W19" s="22"/>
      <c r="X19" s="22"/>
      <c r="Y19" s="7"/>
      <c r="AC19" s="102" t="s">
        <v>10</v>
      </c>
      <c r="AG19" s="6">
        <f>AF18+AF17</f>
        <v>9279144</v>
      </c>
      <c r="AI19" s="1" t="s">
        <v>10</v>
      </c>
      <c r="AK19" s="6">
        <f>AJ18</f>
        <v>856642.50000000012</v>
      </c>
    </row>
    <row r="20" spans="1:37" ht="16.5" customHeight="1" thickBot="1" x14ac:dyDescent="0.3">
      <c r="D20" s="93" t="s">
        <v>11</v>
      </c>
      <c r="E20" s="12"/>
      <c r="F20" s="17"/>
      <c r="G20" s="13"/>
      <c r="H20" s="18"/>
      <c r="I20" s="13"/>
      <c r="J20" s="13"/>
      <c r="K20" s="13"/>
      <c r="L20" s="119"/>
      <c r="M20" s="13"/>
      <c r="N20" s="123"/>
      <c r="O20" s="13"/>
      <c r="P20" s="13"/>
      <c r="Q20" s="19"/>
      <c r="R20" s="20"/>
      <c r="S20" s="21"/>
      <c r="T20" s="21"/>
      <c r="U20" s="22"/>
      <c r="V20" s="22"/>
      <c r="W20" s="22"/>
      <c r="X20" s="22"/>
      <c r="Y20" s="22"/>
      <c r="AC20" s="19"/>
      <c r="AG20" s="21"/>
      <c r="AI20" s="19"/>
      <c r="AK20" s="21"/>
    </row>
    <row r="21" spans="1:37" ht="15.75" thickBot="1" x14ac:dyDescent="0.3">
      <c r="D21" s="93"/>
      <c r="F21" s="128" t="s">
        <v>22</v>
      </c>
      <c r="G21" s="129">
        <f>SUM(G7:G18)</f>
        <v>585442620</v>
      </c>
      <c r="H21" s="129">
        <f t="shared" ref="H21:I21" si="22">SUM(H7:H18)</f>
        <v>111234097.8</v>
      </c>
      <c r="I21" s="129">
        <f t="shared" si="22"/>
        <v>696676717.79999995</v>
      </c>
      <c r="J21" s="129">
        <f>SUM(J7:J18)</f>
        <v>592175210.13</v>
      </c>
      <c r="K21" s="129">
        <f>SUM(K7:K18)</f>
        <v>104501507.67000005</v>
      </c>
      <c r="L21" s="130">
        <f>SUM(L7:L18)</f>
        <v>95757006.870000035</v>
      </c>
      <c r="M21" s="8"/>
      <c r="N21" s="124">
        <f>SUM(N7:N18)</f>
        <v>292721310</v>
      </c>
      <c r="O21" s="8"/>
      <c r="P21" s="8"/>
      <c r="R21" s="128" t="s">
        <v>22</v>
      </c>
      <c r="S21" s="129">
        <f>SUM(S7:S18)</f>
        <v>292723200</v>
      </c>
      <c r="T21" s="129">
        <f t="shared" ref="T21:Y21" si="23">SUM(T7:T18)</f>
        <v>55617408</v>
      </c>
      <c r="U21" s="129">
        <f>SUM(U7:U18)</f>
        <v>10245312.000000002</v>
      </c>
      <c r="V21" s="129">
        <f t="shared" si="23"/>
        <v>338095296</v>
      </c>
      <c r="W21" s="129">
        <f t="shared" si="23"/>
        <v>338095296</v>
      </c>
      <c r="X21" s="129">
        <f t="shared" si="23"/>
        <v>0</v>
      </c>
      <c r="Y21" s="130">
        <f t="shared" si="23"/>
        <v>0</v>
      </c>
    </row>
    <row r="22" spans="1:37" ht="15.75" thickBot="1" x14ac:dyDescent="0.3">
      <c r="F22" s="131" t="s">
        <v>23</v>
      </c>
      <c r="G22" s="132">
        <f>AVERAGE(G7:G18)</f>
        <v>48786885</v>
      </c>
      <c r="H22" s="132">
        <f t="shared" ref="H22:I22" si="24">AVERAGE(H7:H18)</f>
        <v>9269508.1500000004</v>
      </c>
      <c r="I22" s="132">
        <f t="shared" si="24"/>
        <v>58056393.149999999</v>
      </c>
      <c r="J22" s="132">
        <f>AVERAGE(J7:J18)</f>
        <v>49347934.177500002</v>
      </c>
      <c r="K22" s="132">
        <f>AVERAGE(K7:K18)</f>
        <v>8708458.9725000039</v>
      </c>
      <c r="L22" s="133">
        <f>AVERAGE(L7:L18)</f>
        <v>8705182.4427272752</v>
      </c>
      <c r="M22" s="8"/>
      <c r="N22" s="8"/>
      <c r="O22" s="8"/>
      <c r="P22" s="8"/>
      <c r="R22" s="131" t="s">
        <v>23</v>
      </c>
      <c r="S22" s="132">
        <f>AVERAGE(S7:S18)</f>
        <v>24393600</v>
      </c>
      <c r="T22" s="132">
        <f t="shared" ref="T22:Y22" si="25">AVERAGE(T7:T18)</f>
        <v>4634784</v>
      </c>
      <c r="U22" s="132">
        <f>AVERAGE(U7:U18)</f>
        <v>853776.00000000012</v>
      </c>
      <c r="V22" s="132">
        <f t="shared" si="25"/>
        <v>28174608</v>
      </c>
      <c r="W22" s="132">
        <f>AVERAGE(W7:W18)</f>
        <v>28174608</v>
      </c>
      <c r="X22" s="132">
        <f>AVERAGE(X7:X18)</f>
        <v>0</v>
      </c>
      <c r="Y22" s="133">
        <f t="shared" si="25"/>
        <v>0</v>
      </c>
    </row>
    <row r="23" spans="1:37" x14ac:dyDescent="0.25">
      <c r="L23" s="8"/>
    </row>
    <row r="24" spans="1:37" x14ac:dyDescent="0.25">
      <c r="M24" s="8"/>
    </row>
  </sheetData>
  <mergeCells count="9">
    <mergeCell ref="D5:F5"/>
    <mergeCell ref="G5:I5"/>
    <mergeCell ref="AC5:AG5"/>
    <mergeCell ref="AI5:AK5"/>
    <mergeCell ref="D2:L4"/>
    <mergeCell ref="P2:Y3"/>
    <mergeCell ref="AC2:AG4"/>
    <mergeCell ref="AI2:AK4"/>
    <mergeCell ref="P4:Y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61C4-08E3-41F8-99D6-400B8B1C1DE3}">
  <dimension ref="A1:Q36"/>
  <sheetViews>
    <sheetView topLeftCell="B1" zoomScale="60" zoomScaleNormal="60" workbookViewId="0">
      <selection activeCell="C15" sqref="C15"/>
    </sheetView>
  </sheetViews>
  <sheetFormatPr baseColWidth="10" defaultRowHeight="15" x14ac:dyDescent="0.25"/>
  <cols>
    <col min="1" max="17" width="23.5703125" style="52" customWidth="1"/>
    <col min="18" max="16384" width="11.42578125" style="52"/>
  </cols>
  <sheetData>
    <row r="1" spans="1:17" ht="15.75" thickBot="1" x14ac:dyDescent="0.3">
      <c r="A1" s="118">
        <v>2021</v>
      </c>
    </row>
    <row r="2" spans="1:17" ht="15.75" thickBot="1" x14ac:dyDescent="0.3"/>
    <row r="3" spans="1:17" ht="15" customHeight="1" x14ac:dyDescent="0.25">
      <c r="A3" s="188" t="s">
        <v>25</v>
      </c>
      <c r="B3" s="188"/>
      <c r="C3" s="188"/>
      <c r="D3" s="188"/>
      <c r="E3" s="188"/>
      <c r="F3" s="188"/>
      <c r="G3" s="188"/>
      <c r="J3" s="197" t="s">
        <v>26</v>
      </c>
      <c r="K3" s="198"/>
      <c r="L3" s="198"/>
      <c r="M3" s="198"/>
      <c r="N3" s="198"/>
      <c r="O3" s="198"/>
      <c r="P3" s="198"/>
      <c r="Q3" s="199"/>
    </row>
    <row r="4" spans="1:17" ht="15" customHeight="1" x14ac:dyDescent="0.25">
      <c r="A4" s="188"/>
      <c r="B4" s="188"/>
      <c r="C4" s="188"/>
      <c r="D4" s="188"/>
      <c r="E4" s="188"/>
      <c r="F4" s="188"/>
      <c r="G4" s="188"/>
      <c r="J4" s="200"/>
      <c r="K4" s="201"/>
      <c r="L4" s="201"/>
      <c r="M4" s="201"/>
      <c r="N4" s="201"/>
      <c r="O4" s="201"/>
      <c r="P4" s="201"/>
      <c r="Q4" s="202"/>
    </row>
    <row r="5" spans="1:17" ht="15" customHeight="1" x14ac:dyDescent="0.25">
      <c r="A5" s="188"/>
      <c r="B5" s="188"/>
      <c r="C5" s="188"/>
      <c r="D5" s="188"/>
      <c r="E5" s="188"/>
      <c r="F5" s="188"/>
      <c r="G5" s="188"/>
      <c r="J5" s="200"/>
      <c r="K5" s="201"/>
      <c r="L5" s="201"/>
      <c r="M5" s="201"/>
      <c r="N5" s="201"/>
      <c r="O5" s="201"/>
      <c r="P5" s="201"/>
      <c r="Q5" s="202"/>
    </row>
    <row r="6" spans="1:17" ht="15.75" customHeight="1" thickBot="1" x14ac:dyDescent="0.3">
      <c r="A6" s="188"/>
      <c r="B6" s="188"/>
      <c r="C6" s="188"/>
      <c r="D6" s="188"/>
      <c r="E6" s="188"/>
      <c r="F6" s="188"/>
      <c r="G6" s="188"/>
      <c r="J6" s="203"/>
      <c r="K6" s="204"/>
      <c r="L6" s="204"/>
      <c r="M6" s="204"/>
      <c r="N6" s="204"/>
      <c r="O6" s="204"/>
      <c r="P6" s="204"/>
      <c r="Q6" s="205"/>
    </row>
    <row r="7" spans="1:17" x14ac:dyDescent="0.25">
      <c r="A7" s="101" t="s">
        <v>0</v>
      </c>
      <c r="B7" s="101" t="s">
        <v>27</v>
      </c>
      <c r="C7" s="101" t="s">
        <v>4</v>
      </c>
      <c r="D7" s="101" t="s">
        <v>3</v>
      </c>
      <c r="E7" s="101" t="s">
        <v>28</v>
      </c>
      <c r="F7" s="101" t="s">
        <v>112</v>
      </c>
      <c r="G7" s="101" t="s">
        <v>113</v>
      </c>
      <c r="H7" s="66"/>
      <c r="J7" s="101" t="s">
        <v>0</v>
      </c>
      <c r="K7" s="101" t="s">
        <v>7</v>
      </c>
      <c r="L7" s="101" t="s">
        <v>4</v>
      </c>
      <c r="M7" s="101" t="s">
        <v>8</v>
      </c>
      <c r="N7" s="101" t="s">
        <v>9</v>
      </c>
      <c r="O7" s="101" t="s">
        <v>28</v>
      </c>
      <c r="P7" s="101" t="s">
        <v>112</v>
      </c>
      <c r="Q7" s="101" t="s">
        <v>114</v>
      </c>
    </row>
    <row r="8" spans="1:17" x14ac:dyDescent="0.25">
      <c r="A8" s="93" t="s">
        <v>10</v>
      </c>
      <c r="B8" s="67">
        <f>TAPABOCAS!G7+'LITROS GEL ANTB'!G7+'LITROS DESINF.'!G7</f>
        <v>69014295</v>
      </c>
      <c r="C8" s="67">
        <f>TAPABOCAS!H7+'LITROS GEL ANTB'!H7+'LITROS DESINF.'!H7</f>
        <v>13112716.050000001</v>
      </c>
      <c r="D8" s="67">
        <f>TAPABOCAS!I7+'LITROS GEL ANTB'!I7+'LITROS DESINF.'!I7</f>
        <v>82127011.049999997</v>
      </c>
      <c r="E8" s="67">
        <f>TAPABOCAS!J7+'LITROS GEL ANTB'!J7+'LITROS DESINF.'!J7</f>
        <v>69807959.392499998</v>
      </c>
      <c r="F8" s="67">
        <f>TAPABOCAS!K7+'LITROS GEL ANTB'!K7+'LITROS DESINF.'!K7</f>
        <v>12319051.657499999</v>
      </c>
      <c r="G8" s="67">
        <f>TAPABOCAS!L7+'LITROS GEL ANTB'!L7+'LITROS DESINF.'!L7</f>
        <v>0</v>
      </c>
      <c r="H8" s="68"/>
      <c r="J8" s="102" t="s">
        <v>10</v>
      </c>
      <c r="K8" s="65">
        <f>TAPABOCAS!S7+'LITROS GEL ANTB'!S7+'LITROS DESINF.'!S7</f>
        <v>33260500</v>
      </c>
      <c r="L8" s="65">
        <f>TAPABOCAS!T7+'LITROS GEL ANTB'!T7+'LITROS DESINF.'!T7</f>
        <v>6319495</v>
      </c>
      <c r="M8" s="65">
        <f>TAPABOCAS!U7+'LITROS GEL ANTB'!U7+'LITROS DESINF.'!U7</f>
        <v>1164117.5</v>
      </c>
      <c r="N8" s="65">
        <f>TAPABOCAS!V7+'LITROS GEL ANTB'!V7+'LITROS DESINF.'!V7</f>
        <v>38415877.5</v>
      </c>
      <c r="O8" s="65">
        <f>TAPABOCAS!W7+'LITROS GEL ANTB'!W7+'LITROS DESINF.'!W7</f>
        <v>38415877.5</v>
      </c>
      <c r="P8" s="65">
        <f>TAPABOCAS!X7+'LITROS GEL ANTB'!X7+'LITROS DESINF.'!X7</f>
        <v>0</v>
      </c>
      <c r="Q8" s="65">
        <f>TAPABOCAS!Y7+'LITROS GEL ANTB'!Y7+'LITROS DESINF.'!Y7</f>
        <v>0</v>
      </c>
    </row>
    <row r="9" spans="1:17" x14ac:dyDescent="0.25">
      <c r="A9" s="93" t="s">
        <v>11</v>
      </c>
      <c r="B9" s="67">
        <f>TAPABOCAS!G8+'LITROS GEL ANTB'!G8+'LITROS DESINF.'!G8</f>
        <v>69662950</v>
      </c>
      <c r="C9" s="67">
        <f>TAPABOCAS!H8+'LITROS GEL ANTB'!H8+'LITROS DESINF.'!H8</f>
        <v>13235960.5</v>
      </c>
      <c r="D9" s="67">
        <f>TAPABOCAS!I8+'LITROS GEL ANTB'!I8+'LITROS DESINF.'!I8</f>
        <v>82898910.5</v>
      </c>
      <c r="E9" s="67">
        <f>TAPABOCAS!J8+'LITROS GEL ANTB'!J8+'LITROS DESINF.'!J8</f>
        <v>70464073.924999997</v>
      </c>
      <c r="F9" s="67">
        <f>TAPABOCAS!K8+'LITROS GEL ANTB'!K8+'LITROS DESINF.'!K8</f>
        <v>12434836.575000003</v>
      </c>
      <c r="G9" s="67">
        <f>TAPABOCAS!L8+'LITROS GEL ANTB'!L8+'LITROS DESINF.'!L8</f>
        <v>12319051.657499999</v>
      </c>
      <c r="J9" s="102" t="s">
        <v>11</v>
      </c>
      <c r="K9" s="65">
        <f>TAPABOCAS!S8+'LITROS GEL ANTB'!S8+'LITROS DESINF.'!S8</f>
        <v>33554500</v>
      </c>
      <c r="L9" s="65">
        <f>TAPABOCAS!T8+'LITROS GEL ANTB'!T8+'LITROS DESINF.'!T8</f>
        <v>6375355</v>
      </c>
      <c r="M9" s="65">
        <f>TAPABOCAS!U8+'LITROS GEL ANTB'!U8+'LITROS DESINF.'!U8</f>
        <v>1174407.5</v>
      </c>
      <c r="N9" s="65">
        <f>TAPABOCAS!V8+'LITROS GEL ANTB'!V8+'LITROS DESINF.'!V8</f>
        <v>38755447.5</v>
      </c>
      <c r="O9" s="65">
        <f>TAPABOCAS!W8+'LITROS GEL ANTB'!W8+'LITROS DESINF.'!W8</f>
        <v>38755447.5</v>
      </c>
      <c r="P9" s="65">
        <f>TAPABOCAS!X8+'LITROS GEL ANTB'!X8+'LITROS DESINF.'!X8</f>
        <v>0</v>
      </c>
      <c r="Q9" s="65">
        <f>TAPABOCAS!Y8+'LITROS GEL ANTB'!Y8+'LITROS DESINF.'!Y8</f>
        <v>0</v>
      </c>
    </row>
    <row r="10" spans="1:17" x14ac:dyDescent="0.25">
      <c r="A10" s="93" t="s">
        <v>12</v>
      </c>
      <c r="B10" s="67">
        <f>TAPABOCAS!G9+'LITROS GEL ANTB'!G9+'LITROS DESINF.'!G9</f>
        <v>65255050</v>
      </c>
      <c r="C10" s="67">
        <f>TAPABOCAS!H9+'LITROS GEL ANTB'!H9+'LITROS DESINF.'!H9</f>
        <v>12398459.5</v>
      </c>
      <c r="D10" s="67">
        <f>TAPABOCAS!I9+'LITROS GEL ANTB'!I9+'LITROS DESINF.'!I9</f>
        <v>77653509.5</v>
      </c>
      <c r="E10" s="67">
        <f>TAPABOCAS!J9+'LITROS GEL ANTB'!J9+'LITROS DESINF.'!J9</f>
        <v>66005483.074999996</v>
      </c>
      <c r="F10" s="67">
        <f>TAPABOCAS!K9+'LITROS GEL ANTB'!K9+'LITROS DESINF.'!K9</f>
        <v>11648026.425000004</v>
      </c>
      <c r="G10" s="67">
        <f>TAPABOCAS!L9+'LITROS GEL ANTB'!L9+'LITROS DESINF.'!L9</f>
        <v>12434836.575000003</v>
      </c>
      <c r="J10" s="102" t="s">
        <v>12</v>
      </c>
      <c r="K10" s="65">
        <f>TAPABOCAS!S9+'LITROS GEL ANTB'!S9+'LITROS DESINF.'!S9</f>
        <v>31741500</v>
      </c>
      <c r="L10" s="65">
        <f>TAPABOCAS!T9+'LITROS GEL ANTB'!T9+'LITROS DESINF.'!T9</f>
        <v>6030885</v>
      </c>
      <c r="M10" s="65">
        <f>TAPABOCAS!U9+'LITROS GEL ANTB'!U9+'LITROS DESINF.'!U9</f>
        <v>1110952.5</v>
      </c>
      <c r="N10" s="65">
        <f>TAPABOCAS!V9+'LITROS GEL ANTB'!V9+'LITROS DESINF.'!V9</f>
        <v>36661432.5</v>
      </c>
      <c r="O10" s="65">
        <f>TAPABOCAS!W9+'LITROS GEL ANTB'!W9+'LITROS DESINF.'!W9</f>
        <v>36661432.5</v>
      </c>
      <c r="P10" s="65">
        <f>TAPABOCAS!X9+'LITROS GEL ANTB'!X9+'LITROS DESINF.'!X9</f>
        <v>0</v>
      </c>
      <c r="Q10" s="65">
        <f>TAPABOCAS!Y9+'LITROS GEL ANTB'!Y9+'LITROS DESINF.'!Y9</f>
        <v>0</v>
      </c>
    </row>
    <row r="11" spans="1:17" x14ac:dyDescent="0.25">
      <c r="A11" s="93" t="s">
        <v>13</v>
      </c>
      <c r="B11" s="67">
        <f>TAPABOCAS!G10+'LITROS GEL ANTB'!G10+'LITROS DESINF.'!G10</f>
        <v>69319250</v>
      </c>
      <c r="C11" s="67">
        <f>TAPABOCAS!H10+'LITROS GEL ANTB'!H10+'LITROS DESINF.'!H10</f>
        <v>13170657.5</v>
      </c>
      <c r="D11" s="67">
        <f>TAPABOCAS!I10+'LITROS GEL ANTB'!I10+'LITROS DESINF.'!I10</f>
        <v>82489907.5</v>
      </c>
      <c r="E11" s="67">
        <f>TAPABOCAS!J10+'LITROS GEL ANTB'!J10+'LITROS DESINF.'!J10</f>
        <v>70116421.375</v>
      </c>
      <c r="F11" s="67">
        <f>TAPABOCAS!K10+'LITROS GEL ANTB'!K10+'LITROS DESINF.'!K10</f>
        <v>12373486.125</v>
      </c>
      <c r="G11" s="67">
        <f>TAPABOCAS!L10+'LITROS GEL ANTB'!L10+'LITROS DESINF.'!L10</f>
        <v>11648026.425000004</v>
      </c>
      <c r="J11" s="102" t="s">
        <v>13</v>
      </c>
      <c r="K11" s="65">
        <f>TAPABOCAS!S10+'LITROS GEL ANTB'!S10+'LITROS DESINF.'!S10</f>
        <v>33332600</v>
      </c>
      <c r="L11" s="65">
        <f>TAPABOCAS!T10+'LITROS GEL ANTB'!T10+'LITROS DESINF.'!T10</f>
        <v>6333194</v>
      </c>
      <c r="M11" s="65">
        <f>TAPABOCAS!U10+'LITROS GEL ANTB'!U10+'LITROS DESINF.'!U10</f>
        <v>1166641</v>
      </c>
      <c r="N11" s="65">
        <f>TAPABOCAS!V10+'LITROS GEL ANTB'!V10+'LITROS DESINF.'!V10</f>
        <v>38499153</v>
      </c>
      <c r="O11" s="65">
        <f>TAPABOCAS!W10+'LITROS GEL ANTB'!W10+'LITROS DESINF.'!W10</f>
        <v>38499153</v>
      </c>
      <c r="P11" s="65">
        <f>TAPABOCAS!X10+'LITROS GEL ANTB'!X10+'LITROS DESINF.'!X10</f>
        <v>0</v>
      </c>
      <c r="Q11" s="65">
        <f>TAPABOCAS!Y10+'LITROS GEL ANTB'!Y10+'LITROS DESINF.'!Y10</f>
        <v>0</v>
      </c>
    </row>
    <row r="12" spans="1:17" x14ac:dyDescent="0.25">
      <c r="A12" s="93" t="s">
        <v>14</v>
      </c>
      <c r="B12" s="67">
        <f>TAPABOCAS!G11+'LITROS GEL ANTB'!G11+'LITROS DESINF.'!G11</f>
        <v>65814700</v>
      </c>
      <c r="C12" s="67">
        <f>TAPABOCAS!H11+'LITROS GEL ANTB'!H11+'LITROS DESINF.'!H11</f>
        <v>12504793</v>
      </c>
      <c r="D12" s="67">
        <f>TAPABOCAS!I11+'LITROS GEL ANTB'!I11+'LITROS DESINF.'!I11</f>
        <v>78319493</v>
      </c>
      <c r="E12" s="67">
        <f>TAPABOCAS!J11+'LITROS GEL ANTB'!J11+'LITROS DESINF.'!J11</f>
        <v>66571569.049999997</v>
      </c>
      <c r="F12" s="67">
        <f>TAPABOCAS!K11+'LITROS GEL ANTB'!K11+'LITROS DESINF.'!K11</f>
        <v>11747923.950000003</v>
      </c>
      <c r="G12" s="67">
        <f>TAPABOCAS!L11+'LITROS GEL ANTB'!L11+'LITROS DESINF.'!L11</f>
        <v>12373486.125</v>
      </c>
      <c r="J12" s="102" t="s">
        <v>14</v>
      </c>
      <c r="K12" s="65">
        <f>TAPABOCAS!S11+'LITROS GEL ANTB'!S11+'LITROS DESINF.'!S11</f>
        <v>32018000</v>
      </c>
      <c r="L12" s="65">
        <f>TAPABOCAS!T11+'LITROS GEL ANTB'!T11+'LITROS DESINF.'!T11</f>
        <v>6083420</v>
      </c>
      <c r="M12" s="65">
        <f>TAPABOCAS!U11+'LITROS GEL ANTB'!U11+'LITROS DESINF.'!U11</f>
        <v>1120630</v>
      </c>
      <c r="N12" s="65">
        <f>TAPABOCAS!V11+'LITROS GEL ANTB'!V11+'LITROS DESINF.'!V11</f>
        <v>36980790</v>
      </c>
      <c r="O12" s="65">
        <f>TAPABOCAS!W11+'LITROS GEL ANTB'!W11+'LITROS DESINF.'!W11</f>
        <v>36980790</v>
      </c>
      <c r="P12" s="65">
        <f>TAPABOCAS!X11+'LITROS GEL ANTB'!X11+'LITROS DESINF.'!X11</f>
        <v>0</v>
      </c>
      <c r="Q12" s="65">
        <f>TAPABOCAS!Y11+'LITROS GEL ANTB'!Y11+'LITROS DESINF.'!Y11</f>
        <v>0</v>
      </c>
    </row>
    <row r="13" spans="1:17" x14ac:dyDescent="0.25">
      <c r="A13" s="93" t="s">
        <v>15</v>
      </c>
      <c r="B13" s="67">
        <f>TAPABOCAS!G12+'LITROS GEL ANTB'!G12+'LITROS DESINF.'!G12</f>
        <v>65877350</v>
      </c>
      <c r="C13" s="67">
        <f>TAPABOCAS!H12+'LITROS GEL ANTB'!H12+'LITROS DESINF.'!H12</f>
        <v>12516696.5</v>
      </c>
      <c r="D13" s="67">
        <f>TAPABOCAS!I12+'LITROS GEL ANTB'!I12+'LITROS DESINF.'!I12</f>
        <v>78394046.5</v>
      </c>
      <c r="E13" s="67">
        <f>TAPABOCAS!J12+'LITROS GEL ANTB'!J12+'LITROS DESINF.'!J12</f>
        <v>66634939.524999999</v>
      </c>
      <c r="F13" s="67">
        <f>TAPABOCAS!K12+'LITROS GEL ANTB'!K12+'LITROS DESINF.'!K12</f>
        <v>11759106.975000001</v>
      </c>
      <c r="G13" s="67">
        <f>TAPABOCAS!L12+'LITROS GEL ANTB'!L12+'LITROS DESINF.'!L12</f>
        <v>11747923.950000003</v>
      </c>
      <c r="J13" s="102" t="s">
        <v>15</v>
      </c>
      <c r="K13" s="65">
        <f>TAPABOCAS!S12+'LITROS GEL ANTB'!S12+'LITROS DESINF.'!S12</f>
        <v>32147500</v>
      </c>
      <c r="L13" s="65">
        <f>TAPABOCAS!T12+'LITROS GEL ANTB'!T12+'LITROS DESINF.'!T12</f>
        <v>6108025</v>
      </c>
      <c r="M13" s="65">
        <f>TAPABOCAS!U12+'LITROS GEL ANTB'!U12+'LITROS DESINF.'!U12</f>
        <v>1125162.5</v>
      </c>
      <c r="N13" s="65">
        <f>TAPABOCAS!V12+'LITROS GEL ANTB'!V12+'LITROS DESINF.'!V12</f>
        <v>37130362.5</v>
      </c>
      <c r="O13" s="65">
        <f>TAPABOCAS!W12+'LITROS GEL ANTB'!W12+'LITROS DESINF.'!W12</f>
        <v>37130362.5</v>
      </c>
      <c r="P13" s="65">
        <f>TAPABOCAS!X12+'LITROS GEL ANTB'!X12+'LITROS DESINF.'!X12</f>
        <v>0</v>
      </c>
      <c r="Q13" s="65">
        <f>TAPABOCAS!Y12+'LITROS GEL ANTB'!Y12+'LITROS DESINF.'!Y12</f>
        <v>0</v>
      </c>
    </row>
    <row r="14" spans="1:17" x14ac:dyDescent="0.25">
      <c r="A14" s="93" t="s">
        <v>16</v>
      </c>
      <c r="B14" s="67">
        <f>TAPABOCAS!G13+'LITROS GEL ANTB'!G13+'LITROS DESINF.'!G13</f>
        <v>66854375</v>
      </c>
      <c r="C14" s="67">
        <f>TAPABOCAS!H13+'LITROS GEL ANTB'!H13+'LITROS DESINF.'!H13</f>
        <v>12702331.25</v>
      </c>
      <c r="D14" s="67">
        <f>TAPABOCAS!I13+'LITROS GEL ANTB'!I13+'LITROS DESINF.'!I13</f>
        <v>79556706.25</v>
      </c>
      <c r="E14" s="67">
        <f>TAPABOCAS!J13+'LITROS GEL ANTB'!J13+'LITROS DESINF.'!J13</f>
        <v>67623200.3125</v>
      </c>
      <c r="F14" s="67">
        <f>TAPABOCAS!K13+'LITROS GEL ANTB'!K13+'LITROS DESINF.'!K13</f>
        <v>11933505.9375</v>
      </c>
      <c r="G14" s="67">
        <f>TAPABOCAS!L13+'LITROS GEL ANTB'!L13+'LITROS DESINF.'!L13</f>
        <v>11759106.975000001</v>
      </c>
      <c r="J14" s="102" t="s">
        <v>16</v>
      </c>
      <c r="K14" s="65">
        <f>TAPABOCAS!S13+'LITROS GEL ANTB'!S13+'LITROS DESINF.'!S13</f>
        <v>32372200</v>
      </c>
      <c r="L14" s="65">
        <f>TAPABOCAS!T13+'LITROS GEL ANTB'!T13+'LITROS DESINF.'!T13</f>
        <v>6150718</v>
      </c>
      <c r="M14" s="65">
        <f>TAPABOCAS!U13+'LITROS GEL ANTB'!U13+'LITROS DESINF.'!U13</f>
        <v>1133027</v>
      </c>
      <c r="N14" s="65">
        <f>TAPABOCAS!V13+'LITROS GEL ANTB'!V13+'LITROS DESINF.'!V13</f>
        <v>37389891</v>
      </c>
      <c r="O14" s="65">
        <f>TAPABOCAS!W13+'LITROS GEL ANTB'!W13+'LITROS DESINF.'!W13</f>
        <v>37389891</v>
      </c>
      <c r="P14" s="65">
        <f>TAPABOCAS!X13+'LITROS GEL ANTB'!X13+'LITROS DESINF.'!X13</f>
        <v>0</v>
      </c>
      <c r="Q14" s="65">
        <f>TAPABOCAS!Y13+'LITROS GEL ANTB'!Y13+'LITROS DESINF.'!Y13</f>
        <v>0</v>
      </c>
    </row>
    <row r="15" spans="1:17" x14ac:dyDescent="0.25">
      <c r="A15" s="93" t="s">
        <v>17</v>
      </c>
      <c r="B15" s="67">
        <f>TAPABOCAS!G14+'LITROS GEL ANTB'!G14+'LITROS DESINF.'!G14</f>
        <v>66504550</v>
      </c>
      <c r="C15" s="67">
        <f>TAPABOCAS!H14+'LITROS GEL ANTB'!H14+'LITROS DESINF.'!H14</f>
        <v>12635864.5</v>
      </c>
      <c r="D15" s="67">
        <f>TAPABOCAS!I14+'LITROS GEL ANTB'!I14+'LITROS DESINF.'!I14</f>
        <v>79140414.5</v>
      </c>
      <c r="E15" s="67">
        <f>TAPABOCAS!J14+'LITROS GEL ANTB'!J14+'LITROS DESINF.'!J14</f>
        <v>67269352.324999988</v>
      </c>
      <c r="F15" s="67">
        <f>TAPABOCAS!K14+'LITROS GEL ANTB'!K14+'LITROS DESINF.'!K14</f>
        <v>11871062.175000004</v>
      </c>
      <c r="G15" s="67">
        <f>TAPABOCAS!L14+'LITROS GEL ANTB'!L14+'LITROS DESINF.'!L14</f>
        <v>11933505.9375</v>
      </c>
      <c r="J15" s="102" t="s">
        <v>17</v>
      </c>
      <c r="K15" s="65">
        <f>TAPABOCAS!S14+'LITROS GEL ANTB'!S14+'LITROS DESINF.'!S14</f>
        <v>32231500</v>
      </c>
      <c r="L15" s="65">
        <f>TAPABOCAS!T14+'LITROS GEL ANTB'!T14+'LITROS DESINF.'!T14</f>
        <v>6123985</v>
      </c>
      <c r="M15" s="65">
        <f>TAPABOCAS!U14+'LITROS GEL ANTB'!U14+'LITROS DESINF.'!U14</f>
        <v>1128102.5</v>
      </c>
      <c r="N15" s="65">
        <f>TAPABOCAS!V14+'LITROS GEL ANTB'!V14+'LITROS DESINF.'!V14</f>
        <v>37227382.5</v>
      </c>
      <c r="O15" s="65">
        <f>TAPABOCAS!W14+'LITROS GEL ANTB'!W14+'LITROS DESINF.'!W14</f>
        <v>37227382.5</v>
      </c>
      <c r="P15" s="65">
        <f>TAPABOCAS!X14+'LITROS GEL ANTB'!X14+'LITROS DESINF.'!X14</f>
        <v>0</v>
      </c>
      <c r="Q15" s="65">
        <f>TAPABOCAS!Y14+'LITROS GEL ANTB'!Y14+'LITROS DESINF.'!Y14</f>
        <v>0</v>
      </c>
    </row>
    <row r="16" spans="1:17" x14ac:dyDescent="0.25">
      <c r="A16" s="93" t="s">
        <v>18</v>
      </c>
      <c r="B16" s="67">
        <f>TAPABOCAS!G15+'LITROS GEL ANTB'!G15+'LITROS DESINF.'!G15</f>
        <v>66025050</v>
      </c>
      <c r="C16" s="67">
        <f>TAPABOCAS!H15+'LITROS GEL ANTB'!H15+'LITROS DESINF.'!H15</f>
        <v>12544759.5</v>
      </c>
      <c r="D16" s="67">
        <f>TAPABOCAS!I15+'LITROS GEL ANTB'!I15+'LITROS DESINF.'!I15</f>
        <v>78569809.5</v>
      </c>
      <c r="E16" s="67">
        <f>TAPABOCAS!J15+'LITROS GEL ANTB'!J15+'LITROS DESINF.'!J15</f>
        <v>66784338.074999996</v>
      </c>
      <c r="F16" s="67">
        <f>TAPABOCAS!K15+'LITROS GEL ANTB'!K15+'LITROS DESINF.'!K15</f>
        <v>11785471.425000004</v>
      </c>
      <c r="G16" s="67">
        <f>TAPABOCAS!L15+'LITROS GEL ANTB'!L15+'LITROS DESINF.'!L15</f>
        <v>11871062.175000004</v>
      </c>
      <c r="J16" s="102" t="s">
        <v>18</v>
      </c>
      <c r="K16" s="65">
        <f>TAPABOCAS!S15+'LITROS GEL ANTB'!S15+'LITROS DESINF.'!S15</f>
        <v>32073300</v>
      </c>
      <c r="L16" s="65">
        <f>TAPABOCAS!T15+'LITROS GEL ANTB'!T15+'LITROS DESINF.'!T15</f>
        <v>6093927</v>
      </c>
      <c r="M16" s="65">
        <f>TAPABOCAS!U15+'LITROS GEL ANTB'!U15+'LITROS DESINF.'!U15</f>
        <v>1122565.5</v>
      </c>
      <c r="N16" s="65">
        <f>TAPABOCAS!V15+'LITROS GEL ANTB'!V15+'LITROS DESINF.'!V15</f>
        <v>37044661.5</v>
      </c>
      <c r="O16" s="65">
        <f>TAPABOCAS!W15+'LITROS GEL ANTB'!W15+'LITROS DESINF.'!W15</f>
        <v>37044661.5</v>
      </c>
      <c r="P16" s="65">
        <f>TAPABOCAS!X15+'LITROS GEL ANTB'!X15+'LITROS DESINF.'!X15</f>
        <v>0</v>
      </c>
      <c r="Q16" s="65">
        <f>TAPABOCAS!Y15+'LITROS GEL ANTB'!Y15+'LITROS DESINF.'!Y15</f>
        <v>0</v>
      </c>
    </row>
    <row r="17" spans="1:17" x14ac:dyDescent="0.25">
      <c r="A17" s="93" t="s">
        <v>19</v>
      </c>
      <c r="B17" s="67">
        <f>TAPABOCAS!G16+'LITROS GEL ANTB'!G16+'LITROS DESINF.'!G16</f>
        <v>66580850</v>
      </c>
      <c r="C17" s="67">
        <f>TAPABOCAS!H16+'LITROS GEL ANTB'!H16+'LITROS DESINF.'!H16</f>
        <v>12650361.5</v>
      </c>
      <c r="D17" s="67">
        <f>TAPABOCAS!I16+'LITROS GEL ANTB'!I16+'LITROS DESINF.'!I16</f>
        <v>79231211.5</v>
      </c>
      <c r="E17" s="67">
        <f>TAPABOCAS!J16+'LITROS GEL ANTB'!J16+'LITROS DESINF.'!J16</f>
        <v>67346529.775000006</v>
      </c>
      <c r="F17" s="67">
        <f>TAPABOCAS!K16+'LITROS GEL ANTB'!K16+'LITROS DESINF.'!K16</f>
        <v>11884681.725000001</v>
      </c>
      <c r="G17" s="67">
        <f>TAPABOCAS!L16+'LITROS GEL ANTB'!L16+'LITROS DESINF.'!L16</f>
        <v>11785471.425000004</v>
      </c>
      <c r="J17" s="102" t="s">
        <v>19</v>
      </c>
      <c r="K17" s="65">
        <f>TAPABOCAS!S16+'LITROS GEL ANTB'!S16+'LITROS DESINF.'!S16</f>
        <v>32312000</v>
      </c>
      <c r="L17" s="65">
        <f>TAPABOCAS!T16+'LITROS GEL ANTB'!T16+'LITROS DESINF.'!T16</f>
        <v>6139280</v>
      </c>
      <c r="M17" s="65">
        <f>TAPABOCAS!U16+'LITROS GEL ANTB'!U16+'LITROS DESINF.'!U16</f>
        <v>1130920</v>
      </c>
      <c r="N17" s="65">
        <f>TAPABOCAS!V16+'LITROS GEL ANTB'!V16+'LITROS DESINF.'!V16</f>
        <v>37320360</v>
      </c>
      <c r="O17" s="65">
        <f>TAPABOCAS!W16+'LITROS GEL ANTB'!W16+'LITROS DESINF.'!W16</f>
        <v>37320360</v>
      </c>
      <c r="P17" s="65">
        <f>TAPABOCAS!X16+'LITROS GEL ANTB'!X16+'LITROS DESINF.'!X16</f>
        <v>0</v>
      </c>
      <c r="Q17" s="65">
        <f>TAPABOCAS!Y16+'LITROS GEL ANTB'!Y16+'LITROS DESINF.'!Y16</f>
        <v>0</v>
      </c>
    </row>
    <row r="18" spans="1:17" x14ac:dyDescent="0.25">
      <c r="A18" s="93" t="s">
        <v>20</v>
      </c>
      <c r="B18" s="67">
        <f>TAPABOCAS!G17+'LITROS GEL ANTB'!G17+'LITROS DESINF.'!G17</f>
        <v>66816400</v>
      </c>
      <c r="C18" s="67">
        <f>TAPABOCAS!H17+'LITROS GEL ANTB'!H17+'LITROS DESINF.'!H17</f>
        <v>12695116</v>
      </c>
      <c r="D18" s="67">
        <f>TAPABOCAS!I17+'LITROS GEL ANTB'!I17+'LITROS DESINF.'!I17</f>
        <v>79511516</v>
      </c>
      <c r="E18" s="67">
        <f>TAPABOCAS!J17+'LITROS GEL ANTB'!J17+'LITROS DESINF.'!J17</f>
        <v>67584788.599999994</v>
      </c>
      <c r="F18" s="67">
        <f>TAPABOCAS!K17+'LITROS GEL ANTB'!K17+'LITROS DESINF.'!K17</f>
        <v>11926727.399999999</v>
      </c>
      <c r="G18" s="67">
        <f>TAPABOCAS!L17+'LITROS GEL ANTB'!L17+'LITROS DESINF.'!L17</f>
        <v>11884681.725000001</v>
      </c>
      <c r="J18" s="102" t="s">
        <v>20</v>
      </c>
      <c r="K18" s="65">
        <f>TAPABOCAS!S17+'LITROS GEL ANTB'!S17+'LITROS DESINF.'!S17</f>
        <v>32377100</v>
      </c>
      <c r="L18" s="65">
        <f>TAPABOCAS!T17+'LITROS GEL ANTB'!T17+'LITROS DESINF.'!T17</f>
        <v>6151649</v>
      </c>
      <c r="M18" s="65">
        <f>TAPABOCAS!U17+'LITROS GEL ANTB'!U17+'LITROS DESINF.'!U17</f>
        <v>1133198.5</v>
      </c>
      <c r="N18" s="65">
        <f>TAPABOCAS!V17+'LITROS GEL ANTB'!V17+'LITROS DESINF.'!V17</f>
        <v>37395550.5</v>
      </c>
      <c r="O18" s="65">
        <f>TAPABOCAS!W17+'LITROS GEL ANTB'!W17+'LITROS DESINF.'!W17</f>
        <v>37395550.5</v>
      </c>
      <c r="P18" s="65">
        <f>TAPABOCAS!X17+'LITROS GEL ANTB'!X17+'LITROS DESINF.'!X17</f>
        <v>0</v>
      </c>
      <c r="Q18" s="65">
        <f>TAPABOCAS!Y17+'LITROS GEL ANTB'!Y17+'LITROS DESINF.'!Y17</f>
        <v>0</v>
      </c>
    </row>
    <row r="19" spans="1:17" x14ac:dyDescent="0.25">
      <c r="A19" s="93" t="s">
        <v>21</v>
      </c>
      <c r="B19" s="67">
        <f>TAPABOCAS!G18+'LITROS GEL ANTB'!G18+'LITROS DESINF.'!G18</f>
        <v>67136300</v>
      </c>
      <c r="C19" s="67">
        <f>TAPABOCAS!H18+'LITROS GEL ANTB'!H18+'LITROS DESINF.'!H18</f>
        <v>12755897</v>
      </c>
      <c r="D19" s="67">
        <f>TAPABOCAS!I18+'LITROS GEL ANTB'!I18+'LITROS DESINF.'!I18</f>
        <v>79892197</v>
      </c>
      <c r="E19" s="67">
        <f>TAPABOCAS!J18+'LITROS GEL ANTB'!J18+'LITROS DESINF.'!J18</f>
        <v>67908367.449999988</v>
      </c>
      <c r="F19" s="67">
        <f>TAPABOCAS!K18+'LITROS GEL ANTB'!K18+'LITROS DESINF.'!K18</f>
        <v>11983829.550000004</v>
      </c>
      <c r="G19" s="67">
        <f>TAPABOCAS!L18+'LITROS GEL ANTB'!L18+'LITROS DESINF.'!L18</f>
        <v>11926727.399999999</v>
      </c>
      <c r="J19" s="102" t="s">
        <v>21</v>
      </c>
      <c r="K19" s="65">
        <f>TAPABOCAS!S18+'LITROS GEL ANTB'!S18+'LITROS DESINF.'!S18</f>
        <v>32508000</v>
      </c>
      <c r="L19" s="65">
        <f>TAPABOCAS!T18+'LITROS GEL ANTB'!T18+'LITROS DESINF.'!T18</f>
        <v>6176520</v>
      </c>
      <c r="M19" s="65">
        <f>TAPABOCAS!U18+'LITROS GEL ANTB'!U18+'LITROS DESINF.'!U18</f>
        <v>1137780</v>
      </c>
      <c r="N19" s="65">
        <f>TAPABOCAS!V18+'LITROS GEL ANTB'!V18+'LITROS DESINF.'!V18</f>
        <v>37546740</v>
      </c>
      <c r="O19" s="65">
        <f>TAPABOCAS!W18+'LITROS GEL ANTB'!W18+'LITROS DESINF.'!W18</f>
        <v>37546740</v>
      </c>
      <c r="P19" s="65">
        <f>TAPABOCAS!X18+'LITROS GEL ANTB'!X18+'LITROS DESINF.'!X18</f>
        <v>0</v>
      </c>
      <c r="Q19" s="65">
        <f>TAPABOCAS!Y18+'LITROS GEL ANTB'!Y18+'LITROS DESINF.'!Y18</f>
        <v>0</v>
      </c>
    </row>
    <row r="20" spans="1:17" x14ac:dyDescent="0.25">
      <c r="G20" s="67">
        <f>TAPABOCAS!L19+'LITROS GEL ANTB'!L19+'LITROS DESINF.'!L19</f>
        <v>11983829.550000004</v>
      </c>
      <c r="Q20" s="65"/>
    </row>
    <row r="21" spans="1:17" x14ac:dyDescent="0.25">
      <c r="E21" s="68"/>
      <c r="F21" s="68"/>
      <c r="G21" s="67"/>
    </row>
    <row r="22" spans="1:17" x14ac:dyDescent="0.25">
      <c r="A22" s="70" t="s">
        <v>101</v>
      </c>
      <c r="B22" s="105">
        <f t="shared" ref="B22:G22" si="0">SUM(B8:B21)</f>
        <v>804861120</v>
      </c>
      <c r="C22" s="105">
        <f t="shared" si="0"/>
        <v>152923612.80000001</v>
      </c>
      <c r="D22" s="105">
        <f t="shared" si="0"/>
        <v>957784732.79999995</v>
      </c>
      <c r="E22" s="105">
        <f t="shared" si="0"/>
        <v>814117022.88000011</v>
      </c>
      <c r="F22" s="105">
        <f t="shared" si="0"/>
        <v>143667709.92000005</v>
      </c>
      <c r="G22" s="105">
        <f t="shared" si="0"/>
        <v>143667709.92000005</v>
      </c>
      <c r="J22" s="70" t="s">
        <v>101</v>
      </c>
      <c r="K22" s="105">
        <f t="shared" ref="K22:Q22" si="1">SUM(K8:K21)</f>
        <v>389928700</v>
      </c>
      <c r="L22" s="105">
        <f t="shared" si="1"/>
        <v>74086453</v>
      </c>
      <c r="M22" s="105">
        <f t="shared" si="1"/>
        <v>13647504.5</v>
      </c>
      <c r="N22" s="105">
        <f t="shared" si="1"/>
        <v>450367648.5</v>
      </c>
      <c r="O22" s="105">
        <f t="shared" si="1"/>
        <v>450367648.5</v>
      </c>
      <c r="P22" s="105">
        <f t="shared" si="1"/>
        <v>0</v>
      </c>
      <c r="Q22" s="105">
        <f t="shared" si="1"/>
        <v>0</v>
      </c>
    </row>
    <row r="24" spans="1:17" x14ac:dyDescent="0.25">
      <c r="A24" s="92" t="s">
        <v>0</v>
      </c>
      <c r="B24" s="92" t="s">
        <v>104</v>
      </c>
      <c r="C24" s="92" t="s">
        <v>133</v>
      </c>
      <c r="D24" s="92" t="s">
        <v>134</v>
      </c>
    </row>
    <row r="25" spans="1:17" x14ac:dyDescent="0.25">
      <c r="A25" s="93" t="s">
        <v>10</v>
      </c>
      <c r="B25" s="67">
        <f>TAPABOCAS!E7*TAPABOCAS!$B$6+('LITROS GEL ANTB'!E7*'LITROS GEL ANTB'!$B$6)+('LITROS DESINF.'!E7*'LITROS DESINF.'!$B$6)</f>
        <v>33227460</v>
      </c>
      <c r="C25" s="67">
        <f>F8</f>
        <v>12319051.657499999</v>
      </c>
      <c r="D25" s="67">
        <f>TAPABOCAS!AA7+'LITROS GEL ANTB'!AA7+'LITROS DESINF.'!AA7</f>
        <v>33040</v>
      </c>
    </row>
    <row r="26" spans="1:17" x14ac:dyDescent="0.25">
      <c r="A26" s="93" t="s">
        <v>11</v>
      </c>
      <c r="B26" s="67">
        <f>TAPABOCAS!E8*TAPABOCAS!$B$6+('LITROS GEL ANTB'!E8*'LITROS GEL ANTB'!$B$6)+('LITROS DESINF.'!E8*'LITROS DESINF.'!$B$6)</f>
        <v>33528600</v>
      </c>
      <c r="C26" s="67">
        <f t="shared" ref="C26:C36" si="2">C25+F9-F8</f>
        <v>12434836.575000003</v>
      </c>
      <c r="D26" s="67">
        <f>TAPABOCAS!AA8+'LITROS GEL ANTB'!AA8+'LITROS DESINF.'!AA8+D25</f>
        <v>58940</v>
      </c>
    </row>
    <row r="27" spans="1:17" x14ac:dyDescent="0.25">
      <c r="A27" s="93" t="s">
        <v>12</v>
      </c>
      <c r="B27" s="67">
        <f>TAPABOCAS!E9*TAPABOCAS!$B$6+('LITROS GEL ANTB'!E9*'LITROS GEL ANTB'!$B$6)+('LITROS DESINF.'!E9*'LITROS DESINF.'!$B$6)</f>
        <v>31753400</v>
      </c>
      <c r="C27" s="67">
        <f t="shared" si="2"/>
        <v>11648026.425000004</v>
      </c>
      <c r="D27" s="67">
        <f>TAPABOCAS!AA9+'LITROS GEL ANTB'!AA9+'LITROS DESINF.'!AA9+D26</f>
        <v>47040</v>
      </c>
    </row>
    <row r="28" spans="1:17" x14ac:dyDescent="0.25">
      <c r="A28" s="93" t="s">
        <v>13</v>
      </c>
      <c r="B28" s="67">
        <f>TAPABOCAS!E10*TAPABOCAS!$B$6+('LITROS GEL ANTB'!E10*'LITROS GEL ANTB'!$B$6)+('LITROS DESINF.'!E10*'LITROS DESINF.'!$B$6)</f>
        <v>33351500</v>
      </c>
      <c r="C28" s="67">
        <f t="shared" si="2"/>
        <v>12373486.125</v>
      </c>
      <c r="D28" s="67">
        <f>TAPABOCAS!AA10+'LITROS GEL ANTB'!AA10+'LITROS DESINF.'!AA10+D27</f>
        <v>28140</v>
      </c>
    </row>
    <row r="29" spans="1:17" x14ac:dyDescent="0.25">
      <c r="A29" s="93" t="s">
        <v>14</v>
      </c>
      <c r="B29" s="67">
        <f>TAPABOCAS!E11*TAPABOCAS!$B$6+('LITROS GEL ANTB'!E11*'LITROS GEL ANTB'!$B$6)+('LITROS DESINF.'!E11*'LITROS DESINF.'!$B$6)</f>
        <v>31988600</v>
      </c>
      <c r="C29" s="67">
        <f t="shared" si="2"/>
        <v>11747923.950000003</v>
      </c>
      <c r="D29" s="67">
        <f>TAPABOCAS!AA11+'LITROS GEL ANTB'!AA11+'LITROS DESINF.'!AA11+D28</f>
        <v>57540</v>
      </c>
    </row>
    <row r="30" spans="1:17" x14ac:dyDescent="0.25">
      <c r="A30" s="93" t="s">
        <v>15</v>
      </c>
      <c r="B30" s="67">
        <f>TAPABOCAS!E12*TAPABOCAS!$B$6+('LITROS GEL ANTB'!E12*'LITROS GEL ANTB'!$B$6)+('LITROS DESINF.'!E12*'LITROS DESINF.'!$B$6)</f>
        <v>32041800</v>
      </c>
      <c r="C30" s="67">
        <f t="shared" si="2"/>
        <v>11759106.975000001</v>
      </c>
      <c r="D30" s="67">
        <f>TAPABOCAS!AA12+'LITROS GEL ANTB'!AA12+'LITROS DESINF.'!AA12+D29</f>
        <v>163240</v>
      </c>
    </row>
    <row r="31" spans="1:17" x14ac:dyDescent="0.25">
      <c r="A31" s="93" t="s">
        <v>16</v>
      </c>
      <c r="B31" s="67">
        <f>TAPABOCAS!E13*TAPABOCAS!$B$6+('LITROS GEL ANTB'!E13*'LITROS GEL ANTB'!$B$6)+('LITROS DESINF.'!E13*'LITROS DESINF.'!$B$6)</f>
        <v>32453750</v>
      </c>
      <c r="C31" s="67">
        <f t="shared" si="2"/>
        <v>11933505.9375</v>
      </c>
      <c r="D31" s="67">
        <f>TAPABOCAS!AA13+'LITROS GEL ANTB'!AA13+'LITROS DESINF.'!AA13+D30</f>
        <v>81690</v>
      </c>
    </row>
    <row r="32" spans="1:17" x14ac:dyDescent="0.25">
      <c r="A32" s="93" t="s">
        <v>17</v>
      </c>
      <c r="B32" s="67">
        <f>TAPABOCAS!E14*TAPABOCAS!$B$6+('LITROS GEL ANTB'!E14*'LITROS GEL ANTB'!$B$6)+('LITROS DESINF.'!E14*'LITROS DESINF.'!$B$6)</f>
        <v>32246900</v>
      </c>
      <c r="C32" s="67">
        <f t="shared" si="2"/>
        <v>11871062.175000004</v>
      </c>
      <c r="D32" s="67">
        <f>TAPABOCAS!AA14+'LITROS GEL ANTB'!AA14+'LITROS DESINF.'!AA14+D31</f>
        <v>66290</v>
      </c>
    </row>
    <row r="33" spans="1:4" x14ac:dyDescent="0.25">
      <c r="A33" s="93" t="s">
        <v>18</v>
      </c>
      <c r="B33" s="67">
        <f>TAPABOCAS!E15*TAPABOCAS!$B$6+('LITROS GEL ANTB'!E15*'LITROS GEL ANTB'!$B$6)+('LITROS DESINF.'!E15*'LITROS DESINF.'!$B$6)</f>
        <v>32089400</v>
      </c>
      <c r="C33" s="67">
        <f t="shared" si="2"/>
        <v>11785471.425000004</v>
      </c>
      <c r="D33" s="67">
        <f>TAPABOCAS!AA15+'LITROS GEL ANTB'!AA15+'LITROS DESINF.'!AA15+D32</f>
        <v>50190</v>
      </c>
    </row>
    <row r="34" spans="1:4" x14ac:dyDescent="0.25">
      <c r="A34" s="93" t="s">
        <v>19</v>
      </c>
      <c r="B34" s="67">
        <f>TAPABOCAS!E16*TAPABOCAS!$B$6+('LITROS GEL ANTB'!E16*'LITROS GEL ANTB'!$B$6)+('LITROS DESINF.'!E16*'LITROS DESINF.'!$B$6)</f>
        <v>32332300</v>
      </c>
      <c r="C34" s="67">
        <f t="shared" si="2"/>
        <v>11884681.725000001</v>
      </c>
      <c r="D34" s="67">
        <f>TAPABOCAS!AA16+'LITROS GEL ANTB'!AA16+'LITROS DESINF.'!AA16+D33</f>
        <v>29890</v>
      </c>
    </row>
    <row r="35" spans="1:4" x14ac:dyDescent="0.25">
      <c r="A35" s="93" t="s">
        <v>20</v>
      </c>
      <c r="B35" s="67">
        <f>TAPABOCAS!E17*TAPABOCAS!$B$6+('LITROS GEL ANTB'!E17*'LITROS GEL ANTB'!$B$6)+('LITROS DESINF.'!E17*'LITROS DESINF.'!$B$6)</f>
        <v>32375700</v>
      </c>
      <c r="C35" s="67">
        <f t="shared" si="2"/>
        <v>11926727.399999999</v>
      </c>
      <c r="D35" s="67">
        <f>TAPABOCAS!AA17+'LITROS GEL ANTB'!AA17+'LITROS DESINF.'!AA17+D34</f>
        <v>31290</v>
      </c>
    </row>
    <row r="36" spans="1:4" x14ac:dyDescent="0.25">
      <c r="A36" s="93" t="s">
        <v>21</v>
      </c>
      <c r="B36" s="67">
        <f>TAPABOCAS!E18*TAPABOCAS!$B$6+('LITROS GEL ANTB'!E18*'LITROS GEL ANTB'!$B$6)+('LITROS DESINF.'!E18*'LITROS DESINF.'!$B$6)</f>
        <v>32537400</v>
      </c>
      <c r="C36" s="67">
        <f t="shared" si="2"/>
        <v>11983829.550000004</v>
      </c>
      <c r="D36" s="67">
        <f>TAPABOCAS!AA18+'LITROS GEL ANTB'!AA18+'LITROS DESINF.'!AA18+D35</f>
        <v>1890</v>
      </c>
    </row>
  </sheetData>
  <mergeCells count="2">
    <mergeCell ref="J3:Q6"/>
    <mergeCell ref="A3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AF9CF-41EB-432A-BA1F-7405AD8552AA}">
  <dimension ref="A1:K18"/>
  <sheetViews>
    <sheetView zoomScale="70" zoomScaleNormal="70" workbookViewId="0">
      <selection activeCell="E7" sqref="E7"/>
    </sheetView>
  </sheetViews>
  <sheetFormatPr baseColWidth="10" defaultRowHeight="15" x14ac:dyDescent="0.25"/>
  <cols>
    <col min="1" max="1" width="11.42578125" style="52"/>
    <col min="2" max="2" width="12.28515625" style="52" customWidth="1"/>
    <col min="3" max="4" width="16.85546875" style="52" customWidth="1"/>
    <col min="5" max="6" width="12.28515625" style="52" customWidth="1"/>
    <col min="7" max="8" width="18.28515625" style="52" customWidth="1"/>
    <col min="9" max="9" width="11.42578125" style="52"/>
    <col min="10" max="11" width="17.85546875" style="52" customWidth="1"/>
    <col min="12" max="16384" width="11.42578125" style="52"/>
  </cols>
  <sheetData>
    <row r="1" spans="1:11" ht="15.75" thickBot="1" x14ac:dyDescent="0.3"/>
    <row r="2" spans="1:11" ht="15" customHeight="1" x14ac:dyDescent="0.25">
      <c r="A2" s="108">
        <v>2021</v>
      </c>
      <c r="B2" s="224" t="s">
        <v>90</v>
      </c>
      <c r="C2" s="225"/>
      <c r="D2" s="226"/>
      <c r="E2" s="63"/>
      <c r="F2" s="224" t="s">
        <v>91</v>
      </c>
      <c r="G2" s="225"/>
      <c r="H2" s="226"/>
    </row>
    <row r="3" spans="1:11" ht="15" customHeight="1" x14ac:dyDescent="0.25">
      <c r="B3" s="227"/>
      <c r="C3" s="228"/>
      <c r="D3" s="229"/>
      <c r="E3" s="63"/>
      <c r="F3" s="227"/>
      <c r="G3" s="228"/>
      <c r="H3" s="229"/>
    </row>
    <row r="4" spans="1:11" ht="15.75" customHeight="1" thickBot="1" x14ac:dyDescent="0.3">
      <c r="B4" s="230"/>
      <c r="C4" s="231"/>
      <c r="D4" s="232"/>
      <c r="E4" s="63"/>
      <c r="F4" s="230"/>
      <c r="G4" s="231"/>
      <c r="H4" s="232"/>
    </row>
    <row r="5" spans="1:11" ht="30" x14ac:dyDescent="0.25">
      <c r="B5" s="106" t="s">
        <v>0</v>
      </c>
      <c r="C5" s="106" t="s">
        <v>94</v>
      </c>
      <c r="D5" s="106" t="s">
        <v>29</v>
      </c>
      <c r="F5" s="106" t="s">
        <v>0</v>
      </c>
      <c r="G5" s="106" t="s">
        <v>8</v>
      </c>
      <c r="H5" s="106" t="s">
        <v>29</v>
      </c>
      <c r="J5" s="106" t="s">
        <v>0</v>
      </c>
      <c r="K5" s="106" t="s">
        <v>147</v>
      </c>
    </row>
    <row r="6" spans="1:11" x14ac:dyDescent="0.25">
      <c r="B6" s="107" t="s">
        <v>10</v>
      </c>
      <c r="C6" s="65">
        <f>TAPABOCAS!AF7+'LITROS GEL ANTB'!AF7+'LITROS DESINF.'!AF7</f>
        <v>6793221.0500000007</v>
      </c>
      <c r="D6" s="65">
        <f>TAPABOCAS!AG7+'LITROS GEL ANTB'!AG7+'LITROS DESINF.'!AG7</f>
        <v>0</v>
      </c>
      <c r="F6" s="102" t="s">
        <v>10</v>
      </c>
      <c r="G6" s="65">
        <f>TAPABOCAS!AJ7+'LITROS GEL ANTB'!AJ7+'LITROS DESINF.'!AJ7</f>
        <v>1164117.5</v>
      </c>
      <c r="H6" s="65">
        <f>TAPABOCAS!AK7+'LITROS GEL ANTB'!AK7+'LITROS DESINF.'!AK7</f>
        <v>0</v>
      </c>
      <c r="J6" s="64" t="s">
        <v>10</v>
      </c>
      <c r="K6" s="65">
        <f>C6+G6-D6-H6</f>
        <v>7957338.5500000007</v>
      </c>
    </row>
    <row r="7" spans="1:11" x14ac:dyDescent="0.25">
      <c r="B7" s="107" t="s">
        <v>11</v>
      </c>
      <c r="C7" s="65">
        <f>TAPABOCAS!AF8+'LITROS GEL ANTB'!AF8+'LITROS DESINF.'!AF8</f>
        <v>6860605.5</v>
      </c>
      <c r="D7" s="65">
        <f>TAPABOCAS!AG8+'LITROS GEL ANTB'!AG8+'LITROS DESINF.'!AG8</f>
        <v>0</v>
      </c>
      <c r="F7" s="102" t="s">
        <v>11</v>
      </c>
      <c r="G7" s="65">
        <f>TAPABOCAS!AJ8+'LITROS GEL ANTB'!AJ8+'LITROS DESINF.'!AJ8</f>
        <v>1174407.5</v>
      </c>
      <c r="H7" s="65">
        <f>TAPABOCAS!AK8+'LITROS GEL ANTB'!AK8+'LITROS DESINF.'!AK8</f>
        <v>1164117.5</v>
      </c>
      <c r="J7" s="64" t="s">
        <v>11</v>
      </c>
      <c r="K7" s="65">
        <f>K6+C7+G7-D7-H7</f>
        <v>14828234.050000001</v>
      </c>
    </row>
    <row r="8" spans="1:11" x14ac:dyDescent="0.25">
      <c r="B8" s="107" t="s">
        <v>12</v>
      </c>
      <c r="C8" s="65">
        <f>TAPABOCAS!AF9+'LITROS GEL ANTB'!AF9+'LITROS DESINF.'!AF9</f>
        <v>6367574.5</v>
      </c>
      <c r="D8" s="65">
        <f>TAPABOCAS!AG9+'LITROS GEL ANTB'!AG9+'LITROS DESINF.'!AG9</f>
        <v>13653826.550000001</v>
      </c>
      <c r="F8" s="102" t="s">
        <v>12</v>
      </c>
      <c r="G8" s="65">
        <f>TAPABOCAS!AJ9+'LITROS GEL ANTB'!AJ9+'LITROS DESINF.'!AJ9</f>
        <v>1110952.5</v>
      </c>
      <c r="H8" s="65">
        <f>TAPABOCAS!AK9+'LITROS GEL ANTB'!AK9+'LITROS DESINF.'!AK9</f>
        <v>1174407.5</v>
      </c>
      <c r="J8" s="64" t="s">
        <v>12</v>
      </c>
      <c r="K8" s="65">
        <f>K7+C8+G8-D8-H8</f>
        <v>7478527</v>
      </c>
    </row>
    <row r="9" spans="1:11" x14ac:dyDescent="0.25">
      <c r="B9" s="107" t="s">
        <v>13</v>
      </c>
      <c r="C9" s="65">
        <f>TAPABOCAS!AF10+'LITROS GEL ANTB'!AF10+'LITROS DESINF.'!AF10</f>
        <v>6837463.5</v>
      </c>
      <c r="D9" s="65">
        <f>TAPABOCAS!AG10+'LITROS GEL ANTB'!AG10+'LITROS DESINF.'!AG10</f>
        <v>0</v>
      </c>
      <c r="F9" s="102" t="s">
        <v>13</v>
      </c>
      <c r="G9" s="65">
        <f>TAPABOCAS!AJ10+'LITROS GEL ANTB'!AJ10+'LITROS DESINF.'!AJ10</f>
        <v>1166641</v>
      </c>
      <c r="H9" s="65">
        <f>TAPABOCAS!AK10+'LITROS GEL ANTB'!AK10+'LITROS DESINF.'!AK10</f>
        <v>1110952.5</v>
      </c>
      <c r="J9" s="64" t="s">
        <v>13</v>
      </c>
      <c r="K9" s="65">
        <f>K8+C9+G9-D9-H9</f>
        <v>14371679</v>
      </c>
    </row>
    <row r="10" spans="1:11" x14ac:dyDescent="0.25">
      <c r="B10" s="107" t="s">
        <v>14</v>
      </c>
      <c r="C10" s="65">
        <f>TAPABOCAS!AF11+'LITROS GEL ANTB'!AF11+'LITROS DESINF.'!AF11</f>
        <v>6421373</v>
      </c>
      <c r="D10" s="65">
        <f>TAPABOCAS!AG11+'LITROS GEL ANTB'!AG11+'LITROS DESINF.'!AG11</f>
        <v>13205038</v>
      </c>
      <c r="F10" s="102" t="s">
        <v>14</v>
      </c>
      <c r="G10" s="65">
        <f>TAPABOCAS!AJ11+'LITROS GEL ANTB'!AJ11+'LITROS DESINF.'!AJ11</f>
        <v>1120630</v>
      </c>
      <c r="H10" s="65">
        <f>TAPABOCAS!AK11+'LITROS GEL ANTB'!AK11+'LITROS DESINF.'!AK11</f>
        <v>1166641</v>
      </c>
      <c r="J10" s="64" t="s">
        <v>14</v>
      </c>
      <c r="K10" s="65">
        <f>K9+C10+G10-D10-H10</f>
        <v>7542003</v>
      </c>
    </row>
    <row r="11" spans="1:11" x14ac:dyDescent="0.25">
      <c r="B11" s="107" t="s">
        <v>15</v>
      </c>
      <c r="C11" s="65">
        <f>TAPABOCAS!AF12+'LITROS GEL ANTB'!AF12+'LITROS DESINF.'!AF12</f>
        <v>6408671.5</v>
      </c>
      <c r="D11" s="65">
        <f>TAPABOCAS!AG12+'LITROS GEL ANTB'!AG12+'LITROS DESINF.'!AG12</f>
        <v>0</v>
      </c>
      <c r="F11" s="102" t="s">
        <v>15</v>
      </c>
      <c r="G11" s="65">
        <f>TAPABOCAS!AJ12+'LITROS GEL ANTB'!AJ12+'LITROS DESINF.'!AJ12</f>
        <v>1125162.5</v>
      </c>
      <c r="H11" s="65">
        <f>TAPABOCAS!AK12+'LITROS GEL ANTB'!AK12+'LITROS DESINF.'!AK12</f>
        <v>1120630</v>
      </c>
      <c r="J11" s="64" t="s">
        <v>15</v>
      </c>
      <c r="K11" s="65">
        <f t="shared" ref="K11:K17" si="0">K10+C11+G11-D11-H11</f>
        <v>13955207</v>
      </c>
    </row>
    <row r="12" spans="1:11" x14ac:dyDescent="0.25">
      <c r="B12" s="107" t="s">
        <v>16</v>
      </c>
      <c r="C12" s="65">
        <f>TAPABOCAS!AF13+'LITROS GEL ANTB'!AF13+'LITROS DESINF.'!AF13</f>
        <v>6551613.25</v>
      </c>
      <c r="D12" s="65">
        <f>TAPABOCAS!AG13+'LITROS GEL ANTB'!AG13+'LITROS DESINF.'!AG13</f>
        <v>12830044.5</v>
      </c>
      <c r="F12" s="102" t="s">
        <v>16</v>
      </c>
      <c r="G12" s="65">
        <f>TAPABOCAS!AJ13+'LITROS GEL ANTB'!AJ13+'LITROS DESINF.'!AJ13</f>
        <v>1133027</v>
      </c>
      <c r="H12" s="65">
        <f>TAPABOCAS!AK13+'LITROS GEL ANTB'!AK13+'LITROS DESINF.'!AK13</f>
        <v>1125162.5</v>
      </c>
      <c r="J12" s="64" t="s">
        <v>16</v>
      </c>
      <c r="K12" s="65">
        <f t="shared" si="0"/>
        <v>7684640.25</v>
      </c>
    </row>
    <row r="13" spans="1:11" x14ac:dyDescent="0.25">
      <c r="B13" s="107" t="s">
        <v>17</v>
      </c>
      <c r="C13" s="65">
        <f>TAPABOCAS!AF14+'LITROS GEL ANTB'!AF14+'LITROS DESINF.'!AF14</f>
        <v>6511879.5</v>
      </c>
      <c r="D13" s="65">
        <f>TAPABOCAS!AG14+'LITROS GEL ANTB'!AG14+'LITROS DESINF.'!AG14</f>
        <v>0</v>
      </c>
      <c r="F13" s="102" t="s">
        <v>17</v>
      </c>
      <c r="G13" s="65">
        <f>TAPABOCAS!AJ14+'LITROS GEL ANTB'!AJ14+'LITROS DESINF.'!AJ14</f>
        <v>1128102.5</v>
      </c>
      <c r="H13" s="65">
        <f>TAPABOCAS!AK14+'LITROS GEL ANTB'!AK14+'LITROS DESINF.'!AK14</f>
        <v>1133027</v>
      </c>
      <c r="J13" s="64" t="s">
        <v>17</v>
      </c>
      <c r="K13" s="65">
        <f t="shared" si="0"/>
        <v>14191595.25</v>
      </c>
    </row>
    <row r="14" spans="1:11" x14ac:dyDescent="0.25">
      <c r="B14" s="107" t="s">
        <v>18</v>
      </c>
      <c r="C14" s="65">
        <f>TAPABOCAS!AF15+'LITROS GEL ANTB'!AF15+'LITROS DESINF.'!AF15</f>
        <v>6450832.5</v>
      </c>
      <c r="D14" s="65">
        <f>TAPABOCAS!AG15+'LITROS GEL ANTB'!AG15+'LITROS DESINF.'!AG15</f>
        <v>13063492.75</v>
      </c>
      <c r="F14" s="102" t="s">
        <v>18</v>
      </c>
      <c r="G14" s="65">
        <f>TAPABOCAS!AJ15+'LITROS GEL ANTB'!AJ15+'LITROS DESINF.'!AJ15</f>
        <v>1122565.5</v>
      </c>
      <c r="H14" s="65">
        <f>TAPABOCAS!AK15+'LITROS GEL ANTB'!AK15+'LITROS DESINF.'!AK15</f>
        <v>1128102.5</v>
      </c>
      <c r="J14" s="64" t="s">
        <v>18</v>
      </c>
      <c r="K14" s="65">
        <f>K13+C14+G14-D14-H14</f>
        <v>7573398</v>
      </c>
    </row>
    <row r="15" spans="1:11" x14ac:dyDescent="0.25">
      <c r="B15" s="107" t="s">
        <v>19</v>
      </c>
      <c r="C15" s="65">
        <f>TAPABOCAS!AF16+'LITROS GEL ANTB'!AF16+'LITROS DESINF.'!AF16</f>
        <v>6511081.5</v>
      </c>
      <c r="D15" s="65">
        <f>TAPABOCAS!AG16+'LITROS GEL ANTB'!AG16+'LITROS DESINF.'!AG16</f>
        <v>0</v>
      </c>
      <c r="F15" s="102" t="s">
        <v>19</v>
      </c>
      <c r="G15" s="65">
        <f>TAPABOCAS!AJ16+'LITROS GEL ANTB'!AJ16+'LITROS DESINF.'!AJ16</f>
        <v>1130920</v>
      </c>
      <c r="H15" s="65">
        <f>TAPABOCAS!AK16+'LITROS GEL ANTB'!AK16+'LITROS DESINF.'!AK16</f>
        <v>1122565.5</v>
      </c>
      <c r="J15" s="64" t="s">
        <v>19</v>
      </c>
      <c r="K15" s="65">
        <f t="shared" si="0"/>
        <v>14092834</v>
      </c>
    </row>
    <row r="16" spans="1:11" x14ac:dyDescent="0.25">
      <c r="B16" s="107" t="s">
        <v>20</v>
      </c>
      <c r="C16" s="65">
        <f>TAPABOCAS!AF17+'LITROS GEL ANTB'!AF17+'LITROS DESINF.'!AF17</f>
        <v>6543467</v>
      </c>
      <c r="D16" s="65">
        <f>TAPABOCAS!AG17+'LITROS GEL ANTB'!AG17+'LITROS DESINF.'!AG17</f>
        <v>12961914</v>
      </c>
      <c r="F16" s="102" t="s">
        <v>20</v>
      </c>
      <c r="G16" s="65">
        <f>TAPABOCAS!AJ17+'LITROS GEL ANTB'!AJ17+'LITROS DESINF.'!AJ17</f>
        <v>1133198.5</v>
      </c>
      <c r="H16" s="65">
        <f>TAPABOCAS!AK17+'LITROS GEL ANTB'!AK17+'LITROS DESINF.'!AK17</f>
        <v>1130920</v>
      </c>
      <c r="J16" s="64" t="s">
        <v>20</v>
      </c>
      <c r="K16" s="65">
        <f t="shared" si="0"/>
        <v>7676665.5</v>
      </c>
    </row>
    <row r="17" spans="2:11" x14ac:dyDescent="0.25">
      <c r="B17" s="107" t="s">
        <v>21</v>
      </c>
      <c r="C17" s="65">
        <f>TAPABOCAS!AF18+'LITROS GEL ANTB'!AF18+'LITROS DESINF.'!AF18</f>
        <v>6579377</v>
      </c>
      <c r="D17" s="65">
        <f>TAPABOCAS!AG18+'LITROS GEL ANTB'!AG18+'LITROS DESINF.'!AG18</f>
        <v>0</v>
      </c>
      <c r="F17" s="102" t="s">
        <v>21</v>
      </c>
      <c r="G17" s="65">
        <f>TAPABOCAS!AJ18+'LITROS GEL ANTB'!AJ18+'LITROS DESINF.'!AJ18</f>
        <v>1137780</v>
      </c>
      <c r="H17" s="65">
        <f>TAPABOCAS!AK18+'LITROS GEL ANTB'!AK18+'LITROS DESINF.'!AK18</f>
        <v>1133198.5</v>
      </c>
      <c r="J17" s="64" t="s">
        <v>21</v>
      </c>
      <c r="K17" s="65">
        <f t="shared" si="0"/>
        <v>14260624</v>
      </c>
    </row>
    <row r="18" spans="2:11" x14ac:dyDescent="0.25">
      <c r="B18" s="107" t="s">
        <v>10</v>
      </c>
      <c r="D18" s="65">
        <f>TAPABOCAS!AG19+'LITROS GEL ANTB'!AG19+'LITROS DESINF.'!AG19</f>
        <v>13122844</v>
      </c>
      <c r="F18" s="102" t="s">
        <v>10</v>
      </c>
      <c r="H18" s="65">
        <f>TAPABOCAS!AK19+'LITROS GEL ANTB'!AK19+'LITROS DESINF.'!AK19</f>
        <v>1137780</v>
      </c>
    </row>
  </sheetData>
  <mergeCells count="2">
    <mergeCell ref="B2:D4"/>
    <mergeCell ref="F2:H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9951-27CB-4B05-B542-700C98800EA6}">
  <dimension ref="A2:P61"/>
  <sheetViews>
    <sheetView zoomScale="60" zoomScaleNormal="60" workbookViewId="0">
      <selection activeCell="E39" sqref="E39"/>
    </sheetView>
  </sheetViews>
  <sheetFormatPr baseColWidth="10" defaultRowHeight="15" x14ac:dyDescent="0.25"/>
  <cols>
    <col min="1" max="1" width="16.85546875" style="23" customWidth="1"/>
    <col min="2" max="2" width="12.5703125" style="23" customWidth="1"/>
    <col min="3" max="3" width="16.7109375" style="23" customWidth="1"/>
    <col min="4" max="4" width="17.42578125" style="23" customWidth="1"/>
    <col min="5" max="16" width="16.140625" style="23" customWidth="1"/>
    <col min="17" max="16384" width="11.42578125" style="23"/>
  </cols>
  <sheetData>
    <row r="2" spans="1:16" x14ac:dyDescent="0.25">
      <c r="B2" s="27">
        <v>1020000</v>
      </c>
      <c r="D2" s="24" t="s">
        <v>35</v>
      </c>
      <c r="E2" s="25"/>
    </row>
    <row r="3" spans="1:16" x14ac:dyDescent="0.25">
      <c r="A3" s="26" t="s">
        <v>36</v>
      </c>
      <c r="B3" s="27">
        <f>B2*(1+(E2/100)*100)</f>
        <v>1020000</v>
      </c>
      <c r="D3" s="24" t="s">
        <v>37</v>
      </c>
      <c r="E3" s="28">
        <v>908526</v>
      </c>
      <c r="F3" s="28">
        <f>E3</f>
        <v>908526</v>
      </c>
      <c r="H3" s="87" t="s">
        <v>161</v>
      </c>
      <c r="I3" s="87">
        <v>4</v>
      </c>
    </row>
    <row r="4" spans="1:16" x14ac:dyDescent="0.25">
      <c r="A4" s="26" t="s">
        <v>38</v>
      </c>
      <c r="B4" s="27">
        <f>IF(B3&lt;=E7*2,E8,0)</f>
        <v>106454</v>
      </c>
      <c r="C4" s="23" t="s">
        <v>39</v>
      </c>
      <c r="D4" s="24" t="s">
        <v>40</v>
      </c>
      <c r="E4" s="28">
        <v>106454</v>
      </c>
      <c r="F4" s="28">
        <f>E4</f>
        <v>106454</v>
      </c>
    </row>
    <row r="5" spans="1:16" ht="15.75" x14ac:dyDescent="0.25">
      <c r="C5" s="29"/>
    </row>
    <row r="6" spans="1:16" x14ac:dyDescent="0.25">
      <c r="E6" s="89" t="s">
        <v>41</v>
      </c>
      <c r="F6" s="89" t="s">
        <v>42</v>
      </c>
      <c r="G6" s="89" t="s">
        <v>43</v>
      </c>
      <c r="H6" s="89" t="s">
        <v>44</v>
      </c>
      <c r="I6" s="89" t="s">
        <v>45</v>
      </c>
      <c r="J6" s="89" t="s">
        <v>46</v>
      </c>
      <c r="K6" s="89" t="s">
        <v>47</v>
      </c>
      <c r="L6" s="89" t="s">
        <v>48</v>
      </c>
      <c r="M6" s="89" t="s">
        <v>49</v>
      </c>
      <c r="N6" s="89" t="s">
        <v>50</v>
      </c>
      <c r="O6" s="89" t="s">
        <v>51</v>
      </c>
      <c r="P6" s="89" t="s">
        <v>52</v>
      </c>
    </row>
    <row r="7" spans="1:16" x14ac:dyDescent="0.25">
      <c r="A7" s="249" t="s">
        <v>53</v>
      </c>
      <c r="B7" s="244"/>
      <c r="C7" s="250" t="s">
        <v>54</v>
      </c>
      <c r="D7" s="251"/>
      <c r="E7" s="30">
        <f>$F$3</f>
        <v>908526</v>
      </c>
      <c r="F7" s="30">
        <f t="shared" ref="F7:P7" si="0">$F$3</f>
        <v>908526</v>
      </c>
      <c r="G7" s="30">
        <f t="shared" si="0"/>
        <v>908526</v>
      </c>
      <c r="H7" s="30">
        <f t="shared" si="0"/>
        <v>908526</v>
      </c>
      <c r="I7" s="30">
        <f t="shared" si="0"/>
        <v>908526</v>
      </c>
      <c r="J7" s="30">
        <f t="shared" si="0"/>
        <v>908526</v>
      </c>
      <c r="K7" s="30">
        <f t="shared" si="0"/>
        <v>908526</v>
      </c>
      <c r="L7" s="30">
        <f t="shared" si="0"/>
        <v>908526</v>
      </c>
      <c r="M7" s="30">
        <f t="shared" si="0"/>
        <v>908526</v>
      </c>
      <c r="N7" s="30">
        <f t="shared" si="0"/>
        <v>908526</v>
      </c>
      <c r="O7" s="30">
        <f t="shared" si="0"/>
        <v>908526</v>
      </c>
      <c r="P7" s="30">
        <f t="shared" si="0"/>
        <v>908526</v>
      </c>
    </row>
    <row r="8" spans="1:16" x14ac:dyDescent="0.25">
      <c r="A8" s="26">
        <v>1.25</v>
      </c>
      <c r="B8" s="23" t="s">
        <v>55</v>
      </c>
      <c r="C8" s="252" t="s">
        <v>40</v>
      </c>
      <c r="D8" s="253"/>
      <c r="E8" s="30">
        <f>$F$4</f>
        <v>106454</v>
      </c>
      <c r="F8" s="30">
        <f t="shared" ref="F8:P8" si="1">$F$4</f>
        <v>106454</v>
      </c>
      <c r="G8" s="30">
        <f t="shared" si="1"/>
        <v>106454</v>
      </c>
      <c r="H8" s="30">
        <f t="shared" si="1"/>
        <v>106454</v>
      </c>
      <c r="I8" s="30">
        <f t="shared" si="1"/>
        <v>106454</v>
      </c>
      <c r="J8" s="30">
        <f t="shared" si="1"/>
        <v>106454</v>
      </c>
      <c r="K8" s="30">
        <f t="shared" si="1"/>
        <v>106454</v>
      </c>
      <c r="L8" s="30">
        <f t="shared" si="1"/>
        <v>106454</v>
      </c>
      <c r="M8" s="30">
        <f t="shared" si="1"/>
        <v>106454</v>
      </c>
      <c r="N8" s="30">
        <f t="shared" si="1"/>
        <v>106454</v>
      </c>
      <c r="O8" s="30">
        <f t="shared" si="1"/>
        <v>106454</v>
      </c>
      <c r="P8" s="30">
        <f t="shared" si="1"/>
        <v>106454</v>
      </c>
    </row>
    <row r="9" spans="1:16" x14ac:dyDescent="0.25">
      <c r="A9" s="26">
        <v>1.75</v>
      </c>
      <c r="B9" s="23" t="s">
        <v>56</v>
      </c>
      <c r="C9" s="252" t="s">
        <v>57</v>
      </c>
      <c r="D9" s="253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x14ac:dyDescent="0.25">
      <c r="A10" s="26">
        <v>2</v>
      </c>
      <c r="B10" s="23" t="s">
        <v>58</v>
      </c>
      <c r="C10" s="252" t="s">
        <v>59</v>
      </c>
      <c r="D10" s="253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x14ac:dyDescent="0.25">
      <c r="A11" s="26">
        <v>2.5</v>
      </c>
      <c r="B11" s="23" t="s">
        <v>60</v>
      </c>
      <c r="C11" s="247" t="s">
        <v>61</v>
      </c>
      <c r="D11" s="248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B12" s="242" t="s">
        <v>62</v>
      </c>
      <c r="C12" s="243" t="s">
        <v>36</v>
      </c>
      <c r="D12" s="244"/>
      <c r="E12" s="30">
        <f>$B$3</f>
        <v>1020000</v>
      </c>
      <c r="F12" s="30">
        <f>$B$3</f>
        <v>1020000</v>
      </c>
      <c r="G12" s="30">
        <f t="shared" ref="G12:P12" si="2">$B$3</f>
        <v>1020000</v>
      </c>
      <c r="H12" s="30">
        <f t="shared" si="2"/>
        <v>1020000</v>
      </c>
      <c r="I12" s="30">
        <f t="shared" si="2"/>
        <v>1020000</v>
      </c>
      <c r="J12" s="30">
        <f t="shared" si="2"/>
        <v>1020000</v>
      </c>
      <c r="K12" s="30">
        <f t="shared" si="2"/>
        <v>1020000</v>
      </c>
      <c r="L12" s="30">
        <f t="shared" si="2"/>
        <v>1020000</v>
      </c>
      <c r="M12" s="30">
        <f t="shared" si="2"/>
        <v>1020000</v>
      </c>
      <c r="N12" s="30">
        <f t="shared" si="2"/>
        <v>1020000</v>
      </c>
      <c r="O12" s="30">
        <f t="shared" si="2"/>
        <v>1020000</v>
      </c>
      <c r="P12" s="30">
        <f t="shared" si="2"/>
        <v>1020000</v>
      </c>
    </row>
    <row r="13" spans="1:16" x14ac:dyDescent="0.25">
      <c r="B13" s="242"/>
      <c r="C13" s="243" t="s">
        <v>63</v>
      </c>
      <c r="D13" s="244"/>
      <c r="E13" s="30">
        <f>$B$4</f>
        <v>106454</v>
      </c>
      <c r="F13" s="30">
        <f>$B$4</f>
        <v>106454</v>
      </c>
      <c r="G13" s="30">
        <f t="shared" ref="G13:P13" si="3">$B$4</f>
        <v>106454</v>
      </c>
      <c r="H13" s="30">
        <f t="shared" si="3"/>
        <v>106454</v>
      </c>
      <c r="I13" s="30">
        <f t="shared" si="3"/>
        <v>106454</v>
      </c>
      <c r="J13" s="30">
        <f t="shared" si="3"/>
        <v>106454</v>
      </c>
      <c r="K13" s="30">
        <f t="shared" si="3"/>
        <v>106454</v>
      </c>
      <c r="L13" s="30">
        <f t="shared" si="3"/>
        <v>106454</v>
      </c>
      <c r="M13" s="30">
        <f t="shared" si="3"/>
        <v>106454</v>
      </c>
      <c r="N13" s="30">
        <f t="shared" si="3"/>
        <v>106454</v>
      </c>
      <c r="O13" s="30">
        <f t="shared" si="3"/>
        <v>106454</v>
      </c>
      <c r="P13" s="30">
        <f t="shared" si="3"/>
        <v>106454</v>
      </c>
    </row>
    <row r="14" spans="1:16" x14ac:dyDescent="0.25">
      <c r="B14" s="242"/>
      <c r="C14" s="243" t="s">
        <v>64</v>
      </c>
      <c r="D14" s="244"/>
      <c r="E14" s="30">
        <f>E10</f>
        <v>0</v>
      </c>
      <c r="F14" s="30">
        <f t="shared" ref="F14:P14" si="4">F10</f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30">
        <f t="shared" si="4"/>
        <v>0</v>
      </c>
      <c r="P14" s="30">
        <f t="shared" si="4"/>
        <v>0</v>
      </c>
    </row>
    <row r="15" spans="1:16" x14ac:dyDescent="0.25">
      <c r="B15" s="242"/>
      <c r="C15" s="243" t="s">
        <v>65</v>
      </c>
      <c r="D15" s="244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242"/>
      <c r="C16" s="245" t="s">
        <v>66</v>
      </c>
      <c r="D16" s="24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x14ac:dyDescent="0.25"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5">
      <c r="D18" s="97" t="s">
        <v>67</v>
      </c>
      <c r="E18" s="162">
        <f>E19-E24-E28</f>
        <v>1044854</v>
      </c>
      <c r="F18" s="162">
        <f>F19-F24-F28</f>
        <v>1044854</v>
      </c>
      <c r="G18" s="162">
        <f t="shared" ref="G18:P18" si="5">G19-G24-G28</f>
        <v>1044854</v>
      </c>
      <c r="H18" s="162">
        <f t="shared" si="5"/>
        <v>1044854</v>
      </c>
      <c r="I18" s="162">
        <f t="shared" si="5"/>
        <v>1044854</v>
      </c>
      <c r="J18" s="162">
        <f t="shared" si="5"/>
        <v>1044854</v>
      </c>
      <c r="K18" s="162">
        <f t="shared" si="5"/>
        <v>1044854</v>
      </c>
      <c r="L18" s="162">
        <f t="shared" si="5"/>
        <v>1044854</v>
      </c>
      <c r="M18" s="162">
        <f t="shared" si="5"/>
        <v>1044854</v>
      </c>
      <c r="N18" s="162">
        <f t="shared" si="5"/>
        <v>1044854</v>
      </c>
      <c r="O18" s="162">
        <f t="shared" si="5"/>
        <v>1044854</v>
      </c>
      <c r="P18" s="162">
        <f t="shared" si="5"/>
        <v>1044854</v>
      </c>
    </row>
    <row r="19" spans="2:16" x14ac:dyDescent="0.25">
      <c r="B19" s="237" t="s">
        <v>68</v>
      </c>
      <c r="C19" s="238" t="s">
        <v>69</v>
      </c>
      <c r="D19" s="238"/>
      <c r="E19" s="28">
        <f>E20+E13</f>
        <v>1126454</v>
      </c>
      <c r="F19" s="28">
        <f>F20+F13</f>
        <v>1126454</v>
      </c>
      <c r="G19" s="28">
        <f t="shared" ref="G19:P19" si="6">G20+G13</f>
        <v>1126454</v>
      </c>
      <c r="H19" s="28">
        <f t="shared" si="6"/>
        <v>1126454</v>
      </c>
      <c r="I19" s="28">
        <f t="shared" si="6"/>
        <v>1126454</v>
      </c>
      <c r="J19" s="28">
        <f t="shared" si="6"/>
        <v>1126454</v>
      </c>
      <c r="K19" s="28">
        <f t="shared" si="6"/>
        <v>1126454</v>
      </c>
      <c r="L19" s="28">
        <f t="shared" si="6"/>
        <v>1126454</v>
      </c>
      <c r="M19" s="28">
        <f t="shared" si="6"/>
        <v>1126454</v>
      </c>
      <c r="N19" s="28">
        <f t="shared" si="6"/>
        <v>1126454</v>
      </c>
      <c r="O19" s="28">
        <f t="shared" si="6"/>
        <v>1126454</v>
      </c>
      <c r="P19" s="28">
        <f t="shared" si="6"/>
        <v>1126454</v>
      </c>
    </row>
    <row r="20" spans="2:16" x14ac:dyDescent="0.25">
      <c r="B20" s="237"/>
      <c r="C20" s="238" t="s">
        <v>70</v>
      </c>
      <c r="D20" s="238"/>
      <c r="E20" s="28">
        <f>E12+E14+E15+E16</f>
        <v>1020000</v>
      </c>
      <c r="F20" s="28">
        <f>F12+F14+F15+F16</f>
        <v>1020000</v>
      </c>
      <c r="G20" s="28">
        <f t="shared" ref="G20:P20" si="7">G12+G14+G15+G16</f>
        <v>1020000</v>
      </c>
      <c r="H20" s="28">
        <f t="shared" si="7"/>
        <v>1020000</v>
      </c>
      <c r="I20" s="28">
        <f t="shared" si="7"/>
        <v>1020000</v>
      </c>
      <c r="J20" s="28">
        <f t="shared" si="7"/>
        <v>1020000</v>
      </c>
      <c r="K20" s="28">
        <f t="shared" si="7"/>
        <v>1020000</v>
      </c>
      <c r="L20" s="28">
        <f t="shared" si="7"/>
        <v>1020000</v>
      </c>
      <c r="M20" s="28">
        <f t="shared" si="7"/>
        <v>1020000</v>
      </c>
      <c r="N20" s="28">
        <f t="shared" si="7"/>
        <v>1020000</v>
      </c>
      <c r="O20" s="28">
        <f t="shared" si="7"/>
        <v>1020000</v>
      </c>
      <c r="P20" s="28">
        <f t="shared" si="7"/>
        <v>1020000</v>
      </c>
    </row>
    <row r="21" spans="2:16" x14ac:dyDescent="0.25"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2:16" ht="15.75" thickBot="1" x14ac:dyDescent="0.3"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6" x14ac:dyDescent="0.25">
      <c r="B23" s="239" t="s">
        <v>71</v>
      </c>
      <c r="C23" s="240"/>
      <c r="D23" s="241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4" spans="2:16" x14ac:dyDescent="0.25">
      <c r="B24" s="163"/>
      <c r="C24" s="164"/>
      <c r="D24" s="164" t="s">
        <v>72</v>
      </c>
      <c r="E24" s="177">
        <f>4%*E20</f>
        <v>40800</v>
      </c>
      <c r="F24" s="177">
        <f>4%*F20</f>
        <v>40800</v>
      </c>
      <c r="G24" s="177">
        <f t="shared" ref="G24:P24" si="8">4%*G20</f>
        <v>40800</v>
      </c>
      <c r="H24" s="177">
        <f t="shared" si="8"/>
        <v>40800</v>
      </c>
      <c r="I24" s="177">
        <f t="shared" si="8"/>
        <v>40800</v>
      </c>
      <c r="J24" s="177">
        <f t="shared" si="8"/>
        <v>40800</v>
      </c>
      <c r="K24" s="177">
        <f t="shared" si="8"/>
        <v>40800</v>
      </c>
      <c r="L24" s="177">
        <f t="shared" si="8"/>
        <v>40800</v>
      </c>
      <c r="M24" s="177">
        <f t="shared" si="8"/>
        <v>40800</v>
      </c>
      <c r="N24" s="177">
        <f t="shared" si="8"/>
        <v>40800</v>
      </c>
      <c r="O24" s="177">
        <f t="shared" si="8"/>
        <v>40800</v>
      </c>
      <c r="P24" s="177">
        <f t="shared" si="8"/>
        <v>40800</v>
      </c>
    </row>
    <row r="25" spans="2:16" x14ac:dyDescent="0.25">
      <c r="B25" s="163"/>
      <c r="C25" s="164"/>
      <c r="D25" s="164" t="s">
        <v>73</v>
      </c>
      <c r="E25" s="177">
        <f>8.5%*E20</f>
        <v>86700</v>
      </c>
      <c r="F25" s="177">
        <f>8.5%*F20</f>
        <v>86700</v>
      </c>
      <c r="G25" s="177">
        <f t="shared" ref="G25:P25" si="9">8.5%*G20</f>
        <v>86700</v>
      </c>
      <c r="H25" s="177">
        <f t="shared" si="9"/>
        <v>86700</v>
      </c>
      <c r="I25" s="177">
        <f t="shared" si="9"/>
        <v>86700</v>
      </c>
      <c r="J25" s="177">
        <f t="shared" si="9"/>
        <v>86700</v>
      </c>
      <c r="K25" s="177">
        <f t="shared" si="9"/>
        <v>86700</v>
      </c>
      <c r="L25" s="177">
        <f t="shared" si="9"/>
        <v>86700</v>
      </c>
      <c r="M25" s="177">
        <f t="shared" si="9"/>
        <v>86700</v>
      </c>
      <c r="N25" s="177">
        <f t="shared" si="9"/>
        <v>86700</v>
      </c>
      <c r="O25" s="177">
        <f t="shared" si="9"/>
        <v>86700</v>
      </c>
      <c r="P25" s="177">
        <f t="shared" si="9"/>
        <v>86700</v>
      </c>
    </row>
    <row r="26" spans="2:16" x14ac:dyDescent="0.25">
      <c r="B26" s="163"/>
      <c r="C26" s="164"/>
      <c r="D26" s="164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</row>
    <row r="27" spans="2:16" x14ac:dyDescent="0.25">
      <c r="B27" s="163" t="s">
        <v>74</v>
      </c>
      <c r="C27" s="164"/>
      <c r="D27" s="164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</row>
    <row r="28" spans="2:16" x14ac:dyDescent="0.25">
      <c r="B28" s="163"/>
      <c r="C28" s="164"/>
      <c r="D28" s="164" t="s">
        <v>72</v>
      </c>
      <c r="E28" s="177">
        <f>E20*4%</f>
        <v>40800</v>
      </c>
      <c r="F28" s="177">
        <f>F20*4%</f>
        <v>40800</v>
      </c>
      <c r="G28" s="177">
        <f t="shared" ref="G28:P28" si="10">G20*4%</f>
        <v>40800</v>
      </c>
      <c r="H28" s="177">
        <f t="shared" si="10"/>
        <v>40800</v>
      </c>
      <c r="I28" s="177">
        <f t="shared" si="10"/>
        <v>40800</v>
      </c>
      <c r="J28" s="177">
        <f t="shared" si="10"/>
        <v>40800</v>
      </c>
      <c r="K28" s="177">
        <f t="shared" si="10"/>
        <v>40800</v>
      </c>
      <c r="L28" s="177">
        <f t="shared" si="10"/>
        <v>40800</v>
      </c>
      <c r="M28" s="177">
        <f t="shared" si="10"/>
        <v>40800</v>
      </c>
      <c r="N28" s="177">
        <f t="shared" si="10"/>
        <v>40800</v>
      </c>
      <c r="O28" s="177">
        <f t="shared" si="10"/>
        <v>40800</v>
      </c>
      <c r="P28" s="177">
        <f t="shared" si="10"/>
        <v>40800</v>
      </c>
    </row>
    <row r="29" spans="2:16" x14ac:dyDescent="0.25">
      <c r="B29" s="163"/>
      <c r="C29" s="164"/>
      <c r="D29" s="164" t="s">
        <v>73</v>
      </c>
      <c r="E29" s="177">
        <f>12%*E20</f>
        <v>122400</v>
      </c>
      <c r="F29" s="177">
        <f>12%*F20</f>
        <v>122400</v>
      </c>
      <c r="G29" s="177">
        <f t="shared" ref="G29:P29" si="11">12%*G20</f>
        <v>122400</v>
      </c>
      <c r="H29" s="177">
        <f t="shared" si="11"/>
        <v>122400</v>
      </c>
      <c r="I29" s="177">
        <f t="shared" si="11"/>
        <v>122400</v>
      </c>
      <c r="J29" s="177">
        <f t="shared" si="11"/>
        <v>122400</v>
      </c>
      <c r="K29" s="177">
        <f t="shared" si="11"/>
        <v>122400</v>
      </c>
      <c r="L29" s="177">
        <f t="shared" si="11"/>
        <v>122400</v>
      </c>
      <c r="M29" s="177">
        <f t="shared" si="11"/>
        <v>122400</v>
      </c>
      <c r="N29" s="177">
        <f t="shared" si="11"/>
        <v>122400</v>
      </c>
      <c r="O29" s="177">
        <f t="shared" si="11"/>
        <v>122400</v>
      </c>
      <c r="P29" s="177">
        <f t="shared" si="11"/>
        <v>122400</v>
      </c>
    </row>
    <row r="30" spans="2:16" x14ac:dyDescent="0.25">
      <c r="B30" s="163"/>
      <c r="C30" s="164"/>
      <c r="D30" s="164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</row>
    <row r="31" spans="2:16" x14ac:dyDescent="0.25">
      <c r="B31" s="163" t="s">
        <v>75</v>
      </c>
      <c r="C31" s="164"/>
      <c r="D31" s="164">
        <v>1</v>
      </c>
      <c r="E31" s="178">
        <f>IF($D$31=1,E20*0.00522,IF($D$31=2,E20*1.044,E20*2.436))</f>
        <v>5324.4</v>
      </c>
      <c r="F31" s="178">
        <f>IF($D$31=1,F20*0.00522,IF($D$31=2,F20*1.044,F20*2.436))</f>
        <v>5324.4</v>
      </c>
      <c r="G31" s="178">
        <f t="shared" ref="G31:P31" si="12">IF($D$31=1,G20*0.00522,IF($D$31=2,G20*1.044,G20*2.436))</f>
        <v>5324.4</v>
      </c>
      <c r="H31" s="178">
        <f t="shared" si="12"/>
        <v>5324.4</v>
      </c>
      <c r="I31" s="178">
        <f t="shared" si="12"/>
        <v>5324.4</v>
      </c>
      <c r="J31" s="178">
        <f t="shared" si="12"/>
        <v>5324.4</v>
      </c>
      <c r="K31" s="178">
        <f t="shared" si="12"/>
        <v>5324.4</v>
      </c>
      <c r="L31" s="178">
        <f t="shared" si="12"/>
        <v>5324.4</v>
      </c>
      <c r="M31" s="178">
        <f t="shared" si="12"/>
        <v>5324.4</v>
      </c>
      <c r="N31" s="178">
        <f t="shared" si="12"/>
        <v>5324.4</v>
      </c>
      <c r="O31" s="178">
        <f t="shared" si="12"/>
        <v>5324.4</v>
      </c>
      <c r="P31" s="178">
        <f t="shared" si="12"/>
        <v>5324.4</v>
      </c>
    </row>
    <row r="32" spans="2:16" x14ac:dyDescent="0.25">
      <c r="B32" s="163"/>
      <c r="C32" s="164"/>
      <c r="D32" s="164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</row>
    <row r="33" spans="1:16" x14ac:dyDescent="0.25">
      <c r="B33" s="165" t="s">
        <v>76</v>
      </c>
      <c r="C33" s="166"/>
      <c r="D33" s="166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</row>
    <row r="34" spans="1:16" x14ac:dyDescent="0.25">
      <c r="B34" s="165"/>
      <c r="C34" s="166"/>
      <c r="D34" s="166" t="s">
        <v>30</v>
      </c>
      <c r="E34" s="179">
        <f>E20*2%</f>
        <v>20400</v>
      </c>
      <c r="F34" s="179">
        <f>F20*2%</f>
        <v>20400</v>
      </c>
      <c r="G34" s="179">
        <f t="shared" ref="G34:P34" si="13">G20*2%</f>
        <v>20400</v>
      </c>
      <c r="H34" s="179">
        <f t="shared" si="13"/>
        <v>20400</v>
      </c>
      <c r="I34" s="179">
        <f t="shared" si="13"/>
        <v>20400</v>
      </c>
      <c r="J34" s="179">
        <f t="shared" si="13"/>
        <v>20400</v>
      </c>
      <c r="K34" s="179">
        <f t="shared" si="13"/>
        <v>20400</v>
      </c>
      <c r="L34" s="179">
        <f t="shared" si="13"/>
        <v>20400</v>
      </c>
      <c r="M34" s="179">
        <f t="shared" si="13"/>
        <v>20400</v>
      </c>
      <c r="N34" s="179">
        <f t="shared" si="13"/>
        <v>20400</v>
      </c>
      <c r="O34" s="179">
        <f t="shared" si="13"/>
        <v>20400</v>
      </c>
      <c r="P34" s="179">
        <f t="shared" si="13"/>
        <v>20400</v>
      </c>
    </row>
    <row r="35" spans="1:16" x14ac:dyDescent="0.25">
      <c r="B35" s="165"/>
      <c r="C35" s="166"/>
      <c r="D35" s="166" t="s">
        <v>31</v>
      </c>
      <c r="E35" s="179">
        <f>E20*3%</f>
        <v>30600</v>
      </c>
      <c r="F35" s="179">
        <f>F20*3%</f>
        <v>30600</v>
      </c>
      <c r="G35" s="179">
        <f t="shared" ref="G35:P35" si="14">G20*3%</f>
        <v>30600</v>
      </c>
      <c r="H35" s="179">
        <f t="shared" si="14"/>
        <v>30600</v>
      </c>
      <c r="I35" s="179">
        <f t="shared" si="14"/>
        <v>30600</v>
      </c>
      <c r="J35" s="179">
        <f t="shared" si="14"/>
        <v>30600</v>
      </c>
      <c r="K35" s="179">
        <f t="shared" si="14"/>
        <v>30600</v>
      </c>
      <c r="L35" s="179">
        <f t="shared" si="14"/>
        <v>30600</v>
      </c>
      <c r="M35" s="179">
        <f t="shared" si="14"/>
        <v>30600</v>
      </c>
      <c r="N35" s="179">
        <f t="shared" si="14"/>
        <v>30600</v>
      </c>
      <c r="O35" s="179">
        <f t="shared" si="14"/>
        <v>30600</v>
      </c>
      <c r="P35" s="179">
        <f t="shared" si="14"/>
        <v>30600</v>
      </c>
    </row>
    <row r="36" spans="1:16" x14ac:dyDescent="0.25">
      <c r="B36" s="165"/>
      <c r="C36" s="166"/>
      <c r="D36" s="166" t="s">
        <v>77</v>
      </c>
      <c r="E36" s="179">
        <f>E20*4%</f>
        <v>40800</v>
      </c>
      <c r="F36" s="179">
        <f>F20*4%</f>
        <v>40800</v>
      </c>
      <c r="G36" s="179">
        <f t="shared" ref="G36:P36" si="15">G20*4%</f>
        <v>40800</v>
      </c>
      <c r="H36" s="179">
        <f t="shared" si="15"/>
        <v>40800</v>
      </c>
      <c r="I36" s="179">
        <f t="shared" si="15"/>
        <v>40800</v>
      </c>
      <c r="J36" s="179">
        <f t="shared" si="15"/>
        <v>40800</v>
      </c>
      <c r="K36" s="179">
        <f t="shared" si="15"/>
        <v>40800</v>
      </c>
      <c r="L36" s="179">
        <f t="shared" si="15"/>
        <v>40800</v>
      </c>
      <c r="M36" s="179">
        <f t="shared" si="15"/>
        <v>40800</v>
      </c>
      <c r="N36" s="179">
        <f t="shared" si="15"/>
        <v>40800</v>
      </c>
      <c r="O36" s="179">
        <f t="shared" si="15"/>
        <v>40800</v>
      </c>
      <c r="P36" s="179">
        <f t="shared" si="15"/>
        <v>40800</v>
      </c>
    </row>
    <row r="37" spans="1:16" x14ac:dyDescent="0.25">
      <c r="B37" s="167"/>
      <c r="C37" s="168"/>
      <c r="D37" s="168" t="s">
        <v>78</v>
      </c>
      <c r="E37" s="180">
        <f>(25/3)%*E19</f>
        <v>93871.166666666672</v>
      </c>
      <c r="F37" s="180">
        <f t="shared" ref="F37:P37" si="16">(25/3)%*F19</f>
        <v>93871.166666666672</v>
      </c>
      <c r="G37" s="180">
        <f t="shared" si="16"/>
        <v>93871.166666666672</v>
      </c>
      <c r="H37" s="180">
        <f t="shared" si="16"/>
        <v>93871.166666666672</v>
      </c>
      <c r="I37" s="180">
        <f t="shared" si="16"/>
        <v>93871.166666666672</v>
      </c>
      <c r="J37" s="180">
        <f t="shared" si="16"/>
        <v>93871.166666666672</v>
      </c>
      <c r="K37" s="180">
        <f t="shared" si="16"/>
        <v>93871.166666666672</v>
      </c>
      <c r="L37" s="180">
        <f t="shared" si="16"/>
        <v>93871.166666666672</v>
      </c>
      <c r="M37" s="180">
        <f t="shared" si="16"/>
        <v>93871.166666666672</v>
      </c>
      <c r="N37" s="180">
        <f t="shared" si="16"/>
        <v>93871.166666666672</v>
      </c>
      <c r="O37" s="180">
        <f t="shared" si="16"/>
        <v>93871.166666666672</v>
      </c>
      <c r="P37" s="180">
        <f t="shared" si="16"/>
        <v>93871.166666666672</v>
      </c>
    </row>
    <row r="38" spans="1:16" x14ac:dyDescent="0.25">
      <c r="B38" s="167"/>
      <c r="C38" s="168"/>
      <c r="D38" s="168" t="s">
        <v>79</v>
      </c>
      <c r="E38" s="180">
        <f>(25/3)%*E19</f>
        <v>93871.166666666672</v>
      </c>
      <c r="F38" s="180">
        <f t="shared" ref="F38:P38" si="17">(25/3)%*F19</f>
        <v>93871.166666666672</v>
      </c>
      <c r="G38" s="180">
        <f t="shared" si="17"/>
        <v>93871.166666666672</v>
      </c>
      <c r="H38" s="180">
        <f t="shared" si="17"/>
        <v>93871.166666666672</v>
      </c>
      <c r="I38" s="180">
        <f t="shared" si="17"/>
        <v>93871.166666666672</v>
      </c>
      <c r="J38" s="180">
        <f t="shared" si="17"/>
        <v>93871.166666666672</v>
      </c>
      <c r="K38" s="180">
        <f t="shared" si="17"/>
        <v>93871.166666666672</v>
      </c>
      <c r="L38" s="180">
        <f t="shared" si="17"/>
        <v>93871.166666666672</v>
      </c>
      <c r="M38" s="180">
        <f t="shared" si="17"/>
        <v>93871.166666666672</v>
      </c>
      <c r="N38" s="180">
        <f t="shared" si="17"/>
        <v>93871.166666666672</v>
      </c>
      <c r="O38" s="180">
        <f t="shared" si="17"/>
        <v>93871.166666666672</v>
      </c>
      <c r="P38" s="180">
        <f t="shared" si="17"/>
        <v>93871.166666666672</v>
      </c>
    </row>
    <row r="39" spans="1:16" x14ac:dyDescent="0.25">
      <c r="B39" s="167"/>
      <c r="C39" s="168"/>
      <c r="D39" s="168" t="s">
        <v>80</v>
      </c>
      <c r="E39" s="180">
        <f>12%*E38</f>
        <v>11264.54</v>
      </c>
      <c r="F39" s="180">
        <f>12%*F38</f>
        <v>11264.54</v>
      </c>
      <c r="G39" s="180">
        <f t="shared" ref="G39:P39" si="18">12%*G38</f>
        <v>11264.54</v>
      </c>
      <c r="H39" s="180">
        <f t="shared" si="18"/>
        <v>11264.54</v>
      </c>
      <c r="I39" s="180">
        <f t="shared" si="18"/>
        <v>11264.54</v>
      </c>
      <c r="J39" s="180">
        <f t="shared" si="18"/>
        <v>11264.54</v>
      </c>
      <c r="K39" s="180">
        <f t="shared" si="18"/>
        <v>11264.54</v>
      </c>
      <c r="L39" s="180">
        <f t="shared" si="18"/>
        <v>11264.54</v>
      </c>
      <c r="M39" s="180">
        <f t="shared" si="18"/>
        <v>11264.54</v>
      </c>
      <c r="N39" s="180">
        <f t="shared" si="18"/>
        <v>11264.54</v>
      </c>
      <c r="O39" s="180">
        <f t="shared" si="18"/>
        <v>11264.54</v>
      </c>
      <c r="P39" s="180">
        <f t="shared" si="18"/>
        <v>11264.54</v>
      </c>
    </row>
    <row r="40" spans="1:16" ht="15.75" thickBot="1" x14ac:dyDescent="0.3">
      <c r="B40" s="169"/>
      <c r="C40" s="170"/>
      <c r="D40" s="170" t="s">
        <v>81</v>
      </c>
      <c r="E40" s="180">
        <f>(25/6)%*E12</f>
        <v>42500.000000000007</v>
      </c>
      <c r="F40" s="180">
        <f>(25/6)%*F12</f>
        <v>42500.000000000007</v>
      </c>
      <c r="G40" s="180">
        <f t="shared" ref="G40:O40" si="19">(25/6)%*G12</f>
        <v>42500.000000000007</v>
      </c>
      <c r="H40" s="180">
        <f t="shared" si="19"/>
        <v>42500.000000000007</v>
      </c>
      <c r="I40" s="180">
        <f t="shared" si="19"/>
        <v>42500.000000000007</v>
      </c>
      <c r="J40" s="180">
        <f t="shared" si="19"/>
        <v>42500.000000000007</v>
      </c>
      <c r="K40" s="180">
        <f t="shared" si="19"/>
        <v>42500.000000000007</v>
      </c>
      <c r="L40" s="180">
        <f t="shared" si="19"/>
        <v>42500.000000000007</v>
      </c>
      <c r="M40" s="180">
        <f t="shared" si="19"/>
        <v>42500.000000000007</v>
      </c>
      <c r="N40" s="180">
        <f t="shared" si="19"/>
        <v>42500.000000000007</v>
      </c>
      <c r="O40" s="180">
        <f t="shared" si="19"/>
        <v>42500.000000000007</v>
      </c>
      <c r="P40" s="180">
        <f>(25/6)%*P12</f>
        <v>42500.000000000007</v>
      </c>
    </row>
    <row r="41" spans="1:16" x14ac:dyDescent="0.25">
      <c r="B41" s="134"/>
      <c r="C41" s="235" t="s">
        <v>82</v>
      </c>
      <c r="D41" s="235"/>
      <c r="E41" s="28">
        <f>E19+E25+E29+E31+E34+E35+E36+E37+E38+E39+E40</f>
        <v>1674185.2733333334</v>
      </c>
      <c r="F41" s="28">
        <f>F19+F25+F29+F31+F34+F35+F36+F37+F38+F39+F40</f>
        <v>1674185.2733333334</v>
      </c>
      <c r="G41" s="28">
        <f>G19+G25+G29+G31+G34+G35+G36+G37+G38+G39+G40</f>
        <v>1674185.2733333334</v>
      </c>
      <c r="H41" s="28">
        <f t="shared" ref="H41:P41" si="20">H19+H25+H29+H31+H34+H35+H36+H37+H38+H39+H40</f>
        <v>1674185.2733333334</v>
      </c>
      <c r="I41" s="28">
        <f t="shared" si="20"/>
        <v>1674185.2733333334</v>
      </c>
      <c r="J41" s="28">
        <f t="shared" si="20"/>
        <v>1674185.2733333334</v>
      </c>
      <c r="K41" s="28">
        <f t="shared" si="20"/>
        <v>1674185.2733333334</v>
      </c>
      <c r="L41" s="28">
        <f t="shared" si="20"/>
        <v>1674185.2733333334</v>
      </c>
      <c r="M41" s="28">
        <f t="shared" si="20"/>
        <v>1674185.2733333334</v>
      </c>
      <c r="N41" s="28">
        <f t="shared" si="20"/>
        <v>1674185.2733333334</v>
      </c>
      <c r="O41" s="28">
        <f t="shared" si="20"/>
        <v>1674185.2733333334</v>
      </c>
      <c r="P41" s="28">
        <f t="shared" si="20"/>
        <v>1674185.2733333334</v>
      </c>
    </row>
    <row r="42" spans="1:16" x14ac:dyDescent="0.25">
      <c r="B42" s="137"/>
      <c r="C42" s="233" t="s">
        <v>83</v>
      </c>
      <c r="D42" s="233"/>
      <c r="E42" s="28">
        <f>E41-E37-E38-E39-E40</f>
        <v>1432678.3999999999</v>
      </c>
      <c r="F42" s="28">
        <f>F41-F37-F38-F39-F40</f>
        <v>1432678.3999999999</v>
      </c>
      <c r="G42" s="28">
        <f t="shared" ref="G42:P42" si="21">G41-G37-G38-G39-G40</f>
        <v>1432678.3999999999</v>
      </c>
      <c r="H42" s="28">
        <f t="shared" si="21"/>
        <v>1432678.3999999999</v>
      </c>
      <c r="I42" s="28">
        <f t="shared" si="21"/>
        <v>1432678.3999999999</v>
      </c>
      <c r="J42" s="28">
        <f t="shared" si="21"/>
        <v>1432678.3999999999</v>
      </c>
      <c r="K42" s="28">
        <f t="shared" si="21"/>
        <v>1432678.3999999999</v>
      </c>
      <c r="L42" s="28">
        <f t="shared" si="21"/>
        <v>1432678.3999999999</v>
      </c>
      <c r="M42" s="28">
        <f t="shared" si="21"/>
        <v>1432678.3999999999</v>
      </c>
      <c r="N42" s="28">
        <f t="shared" si="21"/>
        <v>1432678.3999999999</v>
      </c>
      <c r="O42" s="28">
        <f t="shared" si="21"/>
        <v>1432678.3999999999</v>
      </c>
      <c r="P42" s="28">
        <f t="shared" si="21"/>
        <v>1432678.3999999999</v>
      </c>
    </row>
    <row r="43" spans="1:16" x14ac:dyDescent="0.25">
      <c r="B43" s="137"/>
      <c r="C43" s="233" t="s">
        <v>84</v>
      </c>
      <c r="D43" s="233"/>
      <c r="E43" s="87">
        <f>+$I$3</f>
        <v>4</v>
      </c>
      <c r="F43" s="87">
        <f t="shared" ref="F43:P43" si="22">+$I$3</f>
        <v>4</v>
      </c>
      <c r="G43" s="87">
        <f t="shared" si="22"/>
        <v>4</v>
      </c>
      <c r="H43" s="87">
        <f t="shared" si="22"/>
        <v>4</v>
      </c>
      <c r="I43" s="87">
        <f t="shared" si="22"/>
        <v>4</v>
      </c>
      <c r="J43" s="87">
        <f t="shared" si="22"/>
        <v>4</v>
      </c>
      <c r="K43" s="87">
        <f t="shared" si="22"/>
        <v>4</v>
      </c>
      <c r="L43" s="87">
        <f t="shared" si="22"/>
        <v>4</v>
      </c>
      <c r="M43" s="87">
        <f t="shared" si="22"/>
        <v>4</v>
      </c>
      <c r="N43" s="87">
        <f t="shared" si="22"/>
        <v>4</v>
      </c>
      <c r="O43" s="87">
        <f t="shared" si="22"/>
        <v>4</v>
      </c>
      <c r="P43" s="87">
        <f t="shared" si="22"/>
        <v>4</v>
      </c>
    </row>
    <row r="44" spans="1:16" x14ac:dyDescent="0.25">
      <c r="A44" s="40">
        <f>(((E41*100)/E20)-100)/100</f>
        <v>0.64135811111111107</v>
      </c>
      <c r="B44" s="137"/>
      <c r="C44" s="233" t="s">
        <v>85</v>
      </c>
      <c r="D44" s="233"/>
      <c r="E44" s="28">
        <f>E42*E43</f>
        <v>5730713.5999999996</v>
      </c>
      <c r="F44" s="28">
        <f>F42*F43</f>
        <v>5730713.5999999996</v>
      </c>
      <c r="G44" s="28">
        <f t="shared" ref="G44:P44" si="23">G42*G43</f>
        <v>5730713.5999999996</v>
      </c>
      <c r="H44" s="28">
        <f t="shared" si="23"/>
        <v>5730713.5999999996</v>
      </c>
      <c r="I44" s="28">
        <f t="shared" si="23"/>
        <v>5730713.5999999996</v>
      </c>
      <c r="J44" s="28">
        <f t="shared" si="23"/>
        <v>5730713.5999999996</v>
      </c>
      <c r="K44" s="28">
        <f t="shared" si="23"/>
        <v>5730713.5999999996</v>
      </c>
      <c r="L44" s="28">
        <f t="shared" si="23"/>
        <v>5730713.5999999996</v>
      </c>
      <c r="M44" s="28">
        <f t="shared" si="23"/>
        <v>5730713.5999999996</v>
      </c>
      <c r="N44" s="28">
        <f t="shared" si="23"/>
        <v>5730713.5999999996</v>
      </c>
      <c r="O44" s="28">
        <f t="shared" si="23"/>
        <v>5730713.5999999996</v>
      </c>
      <c r="P44" s="28">
        <f t="shared" si="23"/>
        <v>5730713.5999999996</v>
      </c>
    </row>
    <row r="45" spans="1:16" x14ac:dyDescent="0.25">
      <c r="B45" s="137"/>
      <c r="C45" s="138"/>
      <c r="D45" s="168" t="s">
        <v>78</v>
      </c>
      <c r="E45" s="181"/>
      <c r="F45" s="181"/>
      <c r="G45" s="181"/>
      <c r="H45" s="181"/>
      <c r="I45" s="181"/>
      <c r="J45" s="181">
        <f>SUM(E37:J37)*J43</f>
        <v>2252908</v>
      </c>
      <c r="K45" s="181"/>
      <c r="L45" s="181"/>
      <c r="M45" s="181"/>
      <c r="N45" s="181"/>
      <c r="O45" s="181"/>
      <c r="P45" s="181">
        <f>SUM(K37:P37)*P43</f>
        <v>2252908</v>
      </c>
    </row>
    <row r="46" spans="1:16" x14ac:dyDescent="0.25">
      <c r="B46" s="137"/>
      <c r="C46" s="138"/>
      <c r="D46" s="168" t="s">
        <v>79</v>
      </c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>
        <f>SUM(E38:P38)*P43</f>
        <v>4505815.9999999991</v>
      </c>
    </row>
    <row r="47" spans="1:16" x14ac:dyDescent="0.25">
      <c r="B47" s="137"/>
      <c r="C47" s="138"/>
      <c r="D47" s="168" t="s">
        <v>80</v>
      </c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>
        <f>SUM(E39:P39)*P43</f>
        <v>540697.92000000016</v>
      </c>
    </row>
    <row r="48" spans="1:16" ht="15.75" thickBot="1" x14ac:dyDescent="0.3">
      <c r="B48" s="142"/>
      <c r="C48" s="172"/>
      <c r="D48" s="170" t="s">
        <v>81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>
        <f>SUM(E40:P40)*P43</f>
        <v>2040000.0000000002</v>
      </c>
    </row>
    <row r="49" spans="3:16" ht="15.75" thickBot="1" x14ac:dyDescent="0.3">
      <c r="P49" s="32"/>
    </row>
    <row r="50" spans="3:16" x14ac:dyDescent="0.25">
      <c r="C50" s="234" t="s">
        <v>86</v>
      </c>
      <c r="D50" s="235"/>
      <c r="E50" s="43">
        <f>SUM(E44:E48)</f>
        <v>5730713.5999999996</v>
      </c>
      <c r="F50" s="43">
        <f t="shared" ref="F50:O50" si="24">SUM(F44:F48)</f>
        <v>5730713.5999999996</v>
      </c>
      <c r="G50" s="43">
        <f t="shared" si="24"/>
        <v>5730713.5999999996</v>
      </c>
      <c r="H50" s="43">
        <f t="shared" si="24"/>
        <v>5730713.5999999996</v>
      </c>
      <c r="I50" s="43">
        <f t="shared" si="24"/>
        <v>5730713.5999999996</v>
      </c>
      <c r="J50" s="43">
        <f t="shared" si="24"/>
        <v>7983621.5999999996</v>
      </c>
      <c r="K50" s="43">
        <f t="shared" si="24"/>
        <v>5730713.5999999996</v>
      </c>
      <c r="L50" s="43">
        <f t="shared" si="24"/>
        <v>5730713.5999999996</v>
      </c>
      <c r="M50" s="43">
        <f t="shared" si="24"/>
        <v>5730713.5999999996</v>
      </c>
      <c r="N50" s="43">
        <f t="shared" si="24"/>
        <v>5730713.5999999996</v>
      </c>
      <c r="O50" s="43">
        <f t="shared" si="24"/>
        <v>5730713.5999999996</v>
      </c>
      <c r="P50" s="44">
        <f>SUM(P44:P48)</f>
        <v>15070135.519999998</v>
      </c>
    </row>
    <row r="51" spans="3:16" x14ac:dyDescent="0.25">
      <c r="C51" s="137"/>
      <c r="D51" s="138"/>
      <c r="E51" s="173">
        <f>E41*E43</f>
        <v>6696741.0933333337</v>
      </c>
      <c r="F51" s="173">
        <f t="shared" ref="F51:P51" si="25">F41*F43</f>
        <v>6696741.0933333337</v>
      </c>
      <c r="G51" s="173">
        <f t="shared" si="25"/>
        <v>6696741.0933333337</v>
      </c>
      <c r="H51" s="173">
        <f t="shared" si="25"/>
        <v>6696741.0933333337</v>
      </c>
      <c r="I51" s="173">
        <f t="shared" si="25"/>
        <v>6696741.0933333337</v>
      </c>
      <c r="J51" s="173">
        <f t="shared" si="25"/>
        <v>6696741.0933333337</v>
      </c>
      <c r="K51" s="173">
        <f t="shared" si="25"/>
        <v>6696741.0933333337</v>
      </c>
      <c r="L51" s="173">
        <f t="shared" si="25"/>
        <v>6696741.0933333337</v>
      </c>
      <c r="M51" s="173">
        <f t="shared" si="25"/>
        <v>6696741.0933333337</v>
      </c>
      <c r="N51" s="173">
        <f t="shared" si="25"/>
        <v>6696741.0933333337</v>
      </c>
      <c r="O51" s="173">
        <f t="shared" si="25"/>
        <v>6696741.0933333337</v>
      </c>
      <c r="P51" s="174">
        <f t="shared" si="25"/>
        <v>6696741.0933333337</v>
      </c>
    </row>
    <row r="52" spans="3:16" s="73" customFormat="1" x14ac:dyDescent="0.25">
      <c r="C52" s="236" t="s">
        <v>146</v>
      </c>
      <c r="D52" s="233"/>
      <c r="E52" s="173">
        <f>SUM(E37:E40)*E43</f>
        <v>966027.4933333334</v>
      </c>
      <c r="F52" s="173">
        <f t="shared" ref="F52:P52" si="26">SUM(F37:F40)*F43</f>
        <v>966027.4933333334</v>
      </c>
      <c r="G52" s="173">
        <f t="shared" si="26"/>
        <v>966027.4933333334</v>
      </c>
      <c r="H52" s="173">
        <f t="shared" si="26"/>
        <v>966027.4933333334</v>
      </c>
      <c r="I52" s="173">
        <f t="shared" si="26"/>
        <v>966027.4933333334</v>
      </c>
      <c r="J52" s="173">
        <f t="shared" si="26"/>
        <v>966027.4933333334</v>
      </c>
      <c r="K52" s="173">
        <f t="shared" si="26"/>
        <v>966027.4933333334</v>
      </c>
      <c r="L52" s="173">
        <f t="shared" si="26"/>
        <v>966027.4933333334</v>
      </c>
      <c r="M52" s="173">
        <f t="shared" si="26"/>
        <v>966027.4933333334</v>
      </c>
      <c r="N52" s="173">
        <f t="shared" si="26"/>
        <v>966027.4933333334</v>
      </c>
      <c r="O52" s="173">
        <f t="shared" si="26"/>
        <v>966027.4933333334</v>
      </c>
      <c r="P52" s="174">
        <f t="shared" si="26"/>
        <v>966027.4933333334</v>
      </c>
    </row>
    <row r="53" spans="3:16" s="73" customFormat="1" ht="15.75" thickBot="1" x14ac:dyDescent="0.3">
      <c r="C53" s="142"/>
      <c r="D53" s="172"/>
      <c r="E53" s="175">
        <f>E52</f>
        <v>966027.4933333334</v>
      </c>
      <c r="F53" s="175">
        <f>E53+F52</f>
        <v>1932054.9866666668</v>
      </c>
      <c r="G53" s="175">
        <f t="shared" ref="G53:H53" si="27">F53+G52</f>
        <v>2898082.4800000004</v>
      </c>
      <c r="H53" s="175">
        <f t="shared" si="27"/>
        <v>3864109.9733333336</v>
      </c>
      <c r="I53" s="175">
        <f>H53+I52</f>
        <v>4830137.4666666668</v>
      </c>
      <c r="J53" s="175">
        <f>J52+I53-J45</f>
        <v>3543256.96</v>
      </c>
      <c r="K53" s="175">
        <f>K52+J53</f>
        <v>4509284.4533333331</v>
      </c>
      <c r="L53" s="175">
        <f>K53+L52</f>
        <v>5475311.9466666663</v>
      </c>
      <c r="M53" s="175">
        <f t="shared" ref="M53:O53" si="28">L53+M52</f>
        <v>6441339.4399999995</v>
      </c>
      <c r="N53" s="175">
        <f t="shared" si="28"/>
        <v>7407366.9333333327</v>
      </c>
      <c r="O53" s="175">
        <f t="shared" si="28"/>
        <v>8373394.4266666658</v>
      </c>
      <c r="P53" s="176">
        <f>O53+P52-P45-P46-P47-P48</f>
        <v>0</v>
      </c>
    </row>
    <row r="54" spans="3:16" x14ac:dyDescent="0.25">
      <c r="C54" s="45" t="s">
        <v>87</v>
      </c>
      <c r="D54" s="171">
        <f>SUM(E44:G44)</f>
        <v>17192140.799999997</v>
      </c>
      <c r="E54" s="171">
        <f>SUM(H44:J44)</f>
        <v>17192140.799999997</v>
      </c>
      <c r="F54" s="171">
        <f>SUM(K44:M44)</f>
        <v>17192140.799999997</v>
      </c>
      <c r="G54" s="46">
        <f>SUM(N44:P44)</f>
        <v>17192140.799999997</v>
      </c>
    </row>
    <row r="55" spans="3:16" x14ac:dyDescent="0.25">
      <c r="C55" s="45" t="s">
        <v>78</v>
      </c>
      <c r="E55" s="32">
        <f>J45</f>
        <v>2252908</v>
      </c>
      <c r="G55" s="46">
        <f>P45</f>
        <v>2252908</v>
      </c>
    </row>
    <row r="56" spans="3:16" x14ac:dyDescent="0.25">
      <c r="C56" s="45" t="s">
        <v>79</v>
      </c>
      <c r="G56" s="46"/>
    </row>
    <row r="57" spans="3:16" x14ac:dyDescent="0.25">
      <c r="C57" s="45" t="s">
        <v>88</v>
      </c>
      <c r="G57" s="46"/>
    </row>
    <row r="58" spans="3:16" ht="15.75" thickBot="1" x14ac:dyDescent="0.3">
      <c r="C58" s="45" t="s">
        <v>81</v>
      </c>
      <c r="G58" s="46">
        <f>P48</f>
        <v>2040000.0000000002</v>
      </c>
    </row>
    <row r="59" spans="3:16" ht="15.75" thickBot="1" x14ac:dyDescent="0.3">
      <c r="C59" s="47" t="s">
        <v>89</v>
      </c>
      <c r="D59" s="48">
        <f>SUM(D54:D58)</f>
        <v>17192140.799999997</v>
      </c>
      <c r="E59" s="48">
        <f>SUM(E54:E58)</f>
        <v>19445048.799999997</v>
      </c>
      <c r="F59" s="48">
        <f>SUM(F54:F58)</f>
        <v>17192140.799999997</v>
      </c>
      <c r="G59" s="49">
        <f>SUM(G54:G58)</f>
        <v>21485048.799999997</v>
      </c>
    </row>
    <row r="61" spans="3:16" ht="15.75" x14ac:dyDescent="0.25">
      <c r="D61" s="50">
        <f>SUM(D59:G59)</f>
        <v>75314379.199999988</v>
      </c>
    </row>
  </sheetData>
  <mergeCells count="22">
    <mergeCell ref="C11:D11"/>
    <mergeCell ref="A7:B7"/>
    <mergeCell ref="C7:D7"/>
    <mergeCell ref="C8:D8"/>
    <mergeCell ref="C9:D9"/>
    <mergeCell ref="C10:D10"/>
    <mergeCell ref="B12:B16"/>
    <mergeCell ref="C12:D12"/>
    <mergeCell ref="C13:D13"/>
    <mergeCell ref="C14:D14"/>
    <mergeCell ref="C15:D15"/>
    <mergeCell ref="C16:D16"/>
    <mergeCell ref="C43:D43"/>
    <mergeCell ref="C44:D44"/>
    <mergeCell ref="C50:D50"/>
    <mergeCell ref="C52:D52"/>
    <mergeCell ref="B19:B20"/>
    <mergeCell ref="C19:D19"/>
    <mergeCell ref="C20:D20"/>
    <mergeCell ref="C41:D41"/>
    <mergeCell ref="C42:D42"/>
    <mergeCell ref="B23:D23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E99F-14B9-46A2-925F-5457349816B7}">
  <dimension ref="A2:P61"/>
  <sheetViews>
    <sheetView zoomScale="60" zoomScaleNormal="60" workbookViewId="0">
      <selection activeCell="E51" sqref="E51"/>
    </sheetView>
  </sheetViews>
  <sheetFormatPr baseColWidth="10" defaultRowHeight="15" x14ac:dyDescent="0.25"/>
  <cols>
    <col min="1" max="1" width="16.85546875" style="73" customWidth="1"/>
    <col min="2" max="2" width="12.5703125" style="73" customWidth="1"/>
    <col min="3" max="3" width="16.7109375" style="73" customWidth="1"/>
    <col min="4" max="4" width="17.42578125" style="73" customWidth="1"/>
    <col min="5" max="16" width="16.140625" style="73" customWidth="1"/>
    <col min="17" max="16384" width="11.42578125" style="73"/>
  </cols>
  <sheetData>
    <row r="2" spans="1:16" x14ac:dyDescent="0.25">
      <c r="B2" s="27">
        <v>1900000</v>
      </c>
      <c r="D2" s="24" t="s">
        <v>35</v>
      </c>
      <c r="E2" s="25"/>
    </row>
    <row r="3" spans="1:16" x14ac:dyDescent="0.25">
      <c r="A3" s="71" t="s">
        <v>36</v>
      </c>
      <c r="B3" s="27">
        <f>B2*(1+(E2/100)*100)</f>
        <v>1900000</v>
      </c>
      <c r="D3" s="24" t="s">
        <v>37</v>
      </c>
      <c r="E3" s="28">
        <v>908526</v>
      </c>
      <c r="F3" s="28">
        <f>E3</f>
        <v>908526</v>
      </c>
      <c r="H3" s="87" t="s">
        <v>162</v>
      </c>
      <c r="I3" s="87">
        <v>3</v>
      </c>
    </row>
    <row r="4" spans="1:16" x14ac:dyDescent="0.25">
      <c r="A4" s="71" t="s">
        <v>38</v>
      </c>
      <c r="B4" s="27">
        <f>IF(B3&lt;=E7*2,E8,0)</f>
        <v>0</v>
      </c>
      <c r="C4" s="73" t="s">
        <v>39</v>
      </c>
      <c r="D4" s="24" t="s">
        <v>40</v>
      </c>
      <c r="E4" s="28">
        <v>106454</v>
      </c>
      <c r="F4" s="28">
        <f>E4</f>
        <v>106454</v>
      </c>
    </row>
    <row r="5" spans="1:16" ht="15.75" x14ac:dyDescent="0.25">
      <c r="C5" s="29"/>
    </row>
    <row r="6" spans="1:16" x14ac:dyDescent="0.25">
      <c r="E6" s="72" t="s">
        <v>41</v>
      </c>
      <c r="F6" s="72" t="s">
        <v>42</v>
      </c>
      <c r="G6" s="72" t="s">
        <v>43</v>
      </c>
      <c r="H6" s="72" t="s">
        <v>44</v>
      </c>
      <c r="I6" s="72" t="s">
        <v>45</v>
      </c>
      <c r="J6" s="72" t="s">
        <v>46</v>
      </c>
      <c r="K6" s="72" t="s">
        <v>47</v>
      </c>
      <c r="L6" s="72" t="s">
        <v>48</v>
      </c>
      <c r="M6" s="72" t="s">
        <v>49</v>
      </c>
      <c r="N6" s="72" t="s">
        <v>50</v>
      </c>
      <c r="O6" s="72" t="s">
        <v>51</v>
      </c>
      <c r="P6" s="72" t="s">
        <v>52</v>
      </c>
    </row>
    <row r="7" spans="1:16" x14ac:dyDescent="0.25">
      <c r="A7" s="249" t="s">
        <v>53</v>
      </c>
      <c r="B7" s="244"/>
      <c r="C7" s="250" t="s">
        <v>54</v>
      </c>
      <c r="D7" s="251"/>
      <c r="E7" s="30">
        <f>$F$3</f>
        <v>908526</v>
      </c>
      <c r="F7" s="30">
        <f t="shared" ref="F7:P7" si="0">$F$3</f>
        <v>908526</v>
      </c>
      <c r="G7" s="30">
        <f t="shared" si="0"/>
        <v>908526</v>
      </c>
      <c r="H7" s="30">
        <f t="shared" si="0"/>
        <v>908526</v>
      </c>
      <c r="I7" s="30">
        <f t="shared" si="0"/>
        <v>908526</v>
      </c>
      <c r="J7" s="30">
        <f t="shared" si="0"/>
        <v>908526</v>
      </c>
      <c r="K7" s="30">
        <f t="shared" si="0"/>
        <v>908526</v>
      </c>
      <c r="L7" s="30">
        <f t="shared" si="0"/>
        <v>908526</v>
      </c>
      <c r="M7" s="30">
        <f t="shared" si="0"/>
        <v>908526</v>
      </c>
      <c r="N7" s="30">
        <f t="shared" si="0"/>
        <v>908526</v>
      </c>
      <c r="O7" s="30">
        <f t="shared" si="0"/>
        <v>908526</v>
      </c>
      <c r="P7" s="30">
        <f t="shared" si="0"/>
        <v>908526</v>
      </c>
    </row>
    <row r="8" spans="1:16" x14ac:dyDescent="0.25">
      <c r="A8" s="71">
        <v>1.25</v>
      </c>
      <c r="B8" s="73" t="s">
        <v>55</v>
      </c>
      <c r="C8" s="252" t="s">
        <v>40</v>
      </c>
      <c r="D8" s="253"/>
      <c r="E8" s="30">
        <f>$F$4</f>
        <v>106454</v>
      </c>
      <c r="F8" s="30">
        <f t="shared" ref="F8:P8" si="1">$F$4</f>
        <v>106454</v>
      </c>
      <c r="G8" s="30">
        <f t="shared" si="1"/>
        <v>106454</v>
      </c>
      <c r="H8" s="30">
        <f t="shared" si="1"/>
        <v>106454</v>
      </c>
      <c r="I8" s="30">
        <f t="shared" si="1"/>
        <v>106454</v>
      </c>
      <c r="J8" s="30">
        <f t="shared" si="1"/>
        <v>106454</v>
      </c>
      <c r="K8" s="30">
        <f t="shared" si="1"/>
        <v>106454</v>
      </c>
      <c r="L8" s="30">
        <f t="shared" si="1"/>
        <v>106454</v>
      </c>
      <c r="M8" s="30">
        <f t="shared" si="1"/>
        <v>106454</v>
      </c>
      <c r="N8" s="30">
        <f t="shared" si="1"/>
        <v>106454</v>
      </c>
      <c r="O8" s="30">
        <f t="shared" si="1"/>
        <v>106454</v>
      </c>
      <c r="P8" s="30">
        <f t="shared" si="1"/>
        <v>106454</v>
      </c>
    </row>
    <row r="9" spans="1:16" x14ac:dyDescent="0.25">
      <c r="A9" s="71">
        <v>1.75</v>
      </c>
      <c r="B9" s="73" t="s">
        <v>56</v>
      </c>
      <c r="C9" s="252" t="s">
        <v>57</v>
      </c>
      <c r="D9" s="253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x14ac:dyDescent="0.25">
      <c r="A10" s="71">
        <v>2</v>
      </c>
      <c r="B10" s="73" t="s">
        <v>58</v>
      </c>
      <c r="C10" s="252" t="s">
        <v>59</v>
      </c>
      <c r="D10" s="253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x14ac:dyDescent="0.25">
      <c r="A11" s="71">
        <v>2.5</v>
      </c>
      <c r="B11" s="73" t="s">
        <v>60</v>
      </c>
      <c r="C11" s="247" t="s">
        <v>61</v>
      </c>
      <c r="D11" s="248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B12" s="242" t="s">
        <v>62</v>
      </c>
      <c r="C12" s="243" t="s">
        <v>36</v>
      </c>
      <c r="D12" s="244"/>
      <c r="E12" s="30">
        <f>$B$3</f>
        <v>1900000</v>
      </c>
      <c r="F12" s="30">
        <f>$B$3</f>
        <v>1900000</v>
      </c>
      <c r="G12" s="30">
        <f t="shared" ref="G12:P12" si="2">$B$3</f>
        <v>1900000</v>
      </c>
      <c r="H12" s="30">
        <f t="shared" si="2"/>
        <v>1900000</v>
      </c>
      <c r="I12" s="30">
        <f t="shared" si="2"/>
        <v>1900000</v>
      </c>
      <c r="J12" s="30">
        <f t="shared" si="2"/>
        <v>1900000</v>
      </c>
      <c r="K12" s="30">
        <f t="shared" si="2"/>
        <v>1900000</v>
      </c>
      <c r="L12" s="30">
        <f t="shared" si="2"/>
        <v>1900000</v>
      </c>
      <c r="M12" s="30">
        <f t="shared" si="2"/>
        <v>1900000</v>
      </c>
      <c r="N12" s="30">
        <f t="shared" si="2"/>
        <v>1900000</v>
      </c>
      <c r="O12" s="30">
        <f t="shared" si="2"/>
        <v>1900000</v>
      </c>
      <c r="P12" s="30">
        <f t="shared" si="2"/>
        <v>1900000</v>
      </c>
    </row>
    <row r="13" spans="1:16" x14ac:dyDescent="0.25">
      <c r="B13" s="242"/>
      <c r="C13" s="243" t="s">
        <v>63</v>
      </c>
      <c r="D13" s="244"/>
      <c r="E13" s="30">
        <f>$B$4</f>
        <v>0</v>
      </c>
      <c r="F13" s="30">
        <f>$B$4</f>
        <v>0</v>
      </c>
      <c r="G13" s="30">
        <f t="shared" ref="G13:P13" si="3">$B$4</f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30">
        <f t="shared" si="3"/>
        <v>0</v>
      </c>
      <c r="O13" s="30">
        <f t="shared" si="3"/>
        <v>0</v>
      </c>
      <c r="P13" s="30">
        <f t="shared" si="3"/>
        <v>0</v>
      </c>
    </row>
    <row r="14" spans="1:16" x14ac:dyDescent="0.25">
      <c r="B14" s="242"/>
      <c r="C14" s="243" t="s">
        <v>64</v>
      </c>
      <c r="D14" s="244"/>
      <c r="E14" s="30">
        <f>E10</f>
        <v>0</v>
      </c>
      <c r="F14" s="30">
        <f t="shared" ref="F14:P14" si="4">F10</f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30">
        <f t="shared" si="4"/>
        <v>0</v>
      </c>
      <c r="P14" s="30">
        <f t="shared" si="4"/>
        <v>0</v>
      </c>
    </row>
    <row r="15" spans="1:16" x14ac:dyDescent="0.25">
      <c r="B15" s="242"/>
      <c r="C15" s="243" t="s">
        <v>65</v>
      </c>
      <c r="D15" s="244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242"/>
      <c r="C16" s="245" t="s">
        <v>66</v>
      </c>
      <c r="D16" s="246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2:16" x14ac:dyDescent="0.25"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2:16" x14ac:dyDescent="0.25">
      <c r="D18" s="71" t="s">
        <v>67</v>
      </c>
      <c r="E18" s="33">
        <f>E19-E24-E28</f>
        <v>1748000</v>
      </c>
      <c r="F18" s="33">
        <f>F19-F24-F28</f>
        <v>1748000</v>
      </c>
      <c r="G18" s="33">
        <f t="shared" ref="G18:P18" si="5">G19-G24-G28</f>
        <v>1748000</v>
      </c>
      <c r="H18" s="33">
        <f t="shared" si="5"/>
        <v>1748000</v>
      </c>
      <c r="I18" s="33">
        <f t="shared" si="5"/>
        <v>1748000</v>
      </c>
      <c r="J18" s="33">
        <f t="shared" si="5"/>
        <v>1748000</v>
      </c>
      <c r="K18" s="33">
        <f t="shared" si="5"/>
        <v>1748000</v>
      </c>
      <c r="L18" s="33">
        <f t="shared" si="5"/>
        <v>1748000</v>
      </c>
      <c r="M18" s="33">
        <f t="shared" si="5"/>
        <v>1748000</v>
      </c>
      <c r="N18" s="33">
        <f t="shared" si="5"/>
        <v>1748000</v>
      </c>
      <c r="O18" s="33">
        <f t="shared" si="5"/>
        <v>1748000</v>
      </c>
      <c r="P18" s="33">
        <f t="shared" si="5"/>
        <v>1748000</v>
      </c>
    </row>
    <row r="19" spans="2:16" x14ac:dyDescent="0.25">
      <c r="B19" s="237" t="s">
        <v>68</v>
      </c>
      <c r="C19" s="238" t="s">
        <v>69</v>
      </c>
      <c r="D19" s="238"/>
      <c r="E19" s="28">
        <f>E20+E13</f>
        <v>1900000</v>
      </c>
      <c r="F19" s="28">
        <f>F20+F13</f>
        <v>1900000</v>
      </c>
      <c r="G19" s="28">
        <f t="shared" ref="G19:P19" si="6">G20+G13</f>
        <v>1900000</v>
      </c>
      <c r="H19" s="28">
        <f t="shared" si="6"/>
        <v>1900000</v>
      </c>
      <c r="I19" s="28">
        <f t="shared" si="6"/>
        <v>1900000</v>
      </c>
      <c r="J19" s="28">
        <f t="shared" si="6"/>
        <v>1900000</v>
      </c>
      <c r="K19" s="28">
        <f t="shared" si="6"/>
        <v>1900000</v>
      </c>
      <c r="L19" s="28">
        <f t="shared" si="6"/>
        <v>1900000</v>
      </c>
      <c r="M19" s="28">
        <f t="shared" si="6"/>
        <v>1900000</v>
      </c>
      <c r="N19" s="28">
        <f t="shared" si="6"/>
        <v>1900000</v>
      </c>
      <c r="O19" s="28">
        <f t="shared" si="6"/>
        <v>1900000</v>
      </c>
      <c r="P19" s="28">
        <f t="shared" si="6"/>
        <v>1900000</v>
      </c>
    </row>
    <row r="20" spans="2:16" x14ac:dyDescent="0.25">
      <c r="B20" s="237"/>
      <c r="C20" s="238" t="s">
        <v>70</v>
      </c>
      <c r="D20" s="238"/>
      <c r="E20" s="28">
        <f>E12+E14+E15+E16</f>
        <v>1900000</v>
      </c>
      <c r="F20" s="28">
        <f>F12+F14+F15+F16</f>
        <v>1900000</v>
      </c>
      <c r="G20" s="28">
        <f t="shared" ref="G20:P20" si="7">G12+G14+G15+G16</f>
        <v>1900000</v>
      </c>
      <c r="H20" s="28">
        <f t="shared" si="7"/>
        <v>1900000</v>
      </c>
      <c r="I20" s="28">
        <f t="shared" si="7"/>
        <v>1900000</v>
      </c>
      <c r="J20" s="28">
        <f t="shared" si="7"/>
        <v>1900000</v>
      </c>
      <c r="K20" s="28">
        <f t="shared" si="7"/>
        <v>1900000</v>
      </c>
      <c r="L20" s="28">
        <f t="shared" si="7"/>
        <v>1900000</v>
      </c>
      <c r="M20" s="28">
        <f t="shared" si="7"/>
        <v>1900000</v>
      </c>
      <c r="N20" s="28">
        <f t="shared" si="7"/>
        <v>1900000</v>
      </c>
      <c r="O20" s="28">
        <f t="shared" si="7"/>
        <v>1900000</v>
      </c>
      <c r="P20" s="28">
        <f t="shared" si="7"/>
        <v>1900000</v>
      </c>
    </row>
    <row r="21" spans="2:16" x14ac:dyDescent="0.25"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2:16" x14ac:dyDescent="0.25"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2:16" x14ac:dyDescent="0.25">
      <c r="B23" s="34" t="s">
        <v>71</v>
      </c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2:16" x14ac:dyDescent="0.25">
      <c r="B24" s="34"/>
      <c r="C24" s="34"/>
      <c r="D24" s="34" t="s">
        <v>72</v>
      </c>
      <c r="E24" s="35">
        <f>4%*E20</f>
        <v>76000</v>
      </c>
      <c r="F24" s="35">
        <f>4%*F20</f>
        <v>76000</v>
      </c>
      <c r="G24" s="35">
        <f t="shared" ref="G24:P24" si="8">4%*G20</f>
        <v>76000</v>
      </c>
      <c r="H24" s="35">
        <f t="shared" si="8"/>
        <v>76000</v>
      </c>
      <c r="I24" s="35">
        <f t="shared" si="8"/>
        <v>76000</v>
      </c>
      <c r="J24" s="35">
        <f t="shared" si="8"/>
        <v>76000</v>
      </c>
      <c r="K24" s="35">
        <f t="shared" si="8"/>
        <v>76000</v>
      </c>
      <c r="L24" s="35">
        <f t="shared" si="8"/>
        <v>76000</v>
      </c>
      <c r="M24" s="35">
        <f t="shared" si="8"/>
        <v>76000</v>
      </c>
      <c r="N24" s="35">
        <f t="shared" si="8"/>
        <v>76000</v>
      </c>
      <c r="O24" s="35">
        <f t="shared" si="8"/>
        <v>76000</v>
      </c>
      <c r="P24" s="35">
        <f t="shared" si="8"/>
        <v>76000</v>
      </c>
    </row>
    <row r="25" spans="2:16" x14ac:dyDescent="0.25">
      <c r="B25" s="34"/>
      <c r="C25" s="34"/>
      <c r="D25" s="34" t="s">
        <v>73</v>
      </c>
      <c r="E25" s="35">
        <f>8.5%*E20</f>
        <v>161500</v>
      </c>
      <c r="F25" s="35">
        <f>8.5%*F20</f>
        <v>161500</v>
      </c>
      <c r="G25" s="35">
        <f t="shared" ref="G25:P25" si="9">8.5%*G20</f>
        <v>161500</v>
      </c>
      <c r="H25" s="35">
        <f t="shared" si="9"/>
        <v>161500</v>
      </c>
      <c r="I25" s="35">
        <f t="shared" si="9"/>
        <v>161500</v>
      </c>
      <c r="J25" s="35">
        <f t="shared" si="9"/>
        <v>161500</v>
      </c>
      <c r="K25" s="35">
        <f t="shared" si="9"/>
        <v>161500</v>
      </c>
      <c r="L25" s="35">
        <f t="shared" si="9"/>
        <v>161500</v>
      </c>
      <c r="M25" s="35">
        <f t="shared" si="9"/>
        <v>161500</v>
      </c>
      <c r="N25" s="35">
        <f t="shared" si="9"/>
        <v>161500</v>
      </c>
      <c r="O25" s="35">
        <f t="shared" si="9"/>
        <v>161500</v>
      </c>
      <c r="P25" s="35">
        <f t="shared" si="9"/>
        <v>161500</v>
      </c>
    </row>
    <row r="26" spans="2:16" x14ac:dyDescent="0.25"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x14ac:dyDescent="0.25">
      <c r="B27" s="34" t="s">
        <v>74</v>
      </c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2:16" x14ac:dyDescent="0.25">
      <c r="B28" s="34"/>
      <c r="C28" s="34"/>
      <c r="D28" s="34" t="s">
        <v>72</v>
      </c>
      <c r="E28" s="35">
        <f>E20*4%</f>
        <v>76000</v>
      </c>
      <c r="F28" s="35">
        <f>F20*4%</f>
        <v>76000</v>
      </c>
      <c r="G28" s="35">
        <f t="shared" ref="G28:P28" si="10">G20*4%</f>
        <v>76000</v>
      </c>
      <c r="H28" s="35">
        <f t="shared" si="10"/>
        <v>76000</v>
      </c>
      <c r="I28" s="35">
        <f t="shared" si="10"/>
        <v>76000</v>
      </c>
      <c r="J28" s="35">
        <f t="shared" si="10"/>
        <v>76000</v>
      </c>
      <c r="K28" s="35">
        <f t="shared" si="10"/>
        <v>76000</v>
      </c>
      <c r="L28" s="35">
        <f t="shared" si="10"/>
        <v>76000</v>
      </c>
      <c r="M28" s="35">
        <f t="shared" si="10"/>
        <v>76000</v>
      </c>
      <c r="N28" s="35">
        <f t="shared" si="10"/>
        <v>76000</v>
      </c>
      <c r="O28" s="35">
        <f t="shared" si="10"/>
        <v>76000</v>
      </c>
      <c r="P28" s="35">
        <f t="shared" si="10"/>
        <v>76000</v>
      </c>
    </row>
    <row r="29" spans="2:16" x14ac:dyDescent="0.25">
      <c r="B29" s="34"/>
      <c r="C29" s="34"/>
      <c r="D29" s="34" t="s">
        <v>73</v>
      </c>
      <c r="E29" s="35">
        <f>12%*E20</f>
        <v>228000</v>
      </c>
      <c r="F29" s="35">
        <f>12%*F20</f>
        <v>228000</v>
      </c>
      <c r="G29" s="35">
        <f t="shared" ref="G29:P29" si="11">12%*G20</f>
        <v>228000</v>
      </c>
      <c r="H29" s="35">
        <f t="shared" si="11"/>
        <v>228000</v>
      </c>
      <c r="I29" s="35">
        <f t="shared" si="11"/>
        <v>228000</v>
      </c>
      <c r="J29" s="35">
        <f t="shared" si="11"/>
        <v>228000</v>
      </c>
      <c r="K29" s="35">
        <f t="shared" si="11"/>
        <v>228000</v>
      </c>
      <c r="L29" s="35">
        <f t="shared" si="11"/>
        <v>228000</v>
      </c>
      <c r="M29" s="35">
        <f t="shared" si="11"/>
        <v>228000</v>
      </c>
      <c r="N29" s="35">
        <f t="shared" si="11"/>
        <v>228000</v>
      </c>
      <c r="O29" s="35">
        <f t="shared" si="11"/>
        <v>228000</v>
      </c>
      <c r="P29" s="35">
        <f t="shared" si="11"/>
        <v>228000</v>
      </c>
    </row>
    <row r="30" spans="2:16" x14ac:dyDescent="0.25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2:16" x14ac:dyDescent="0.25">
      <c r="B31" s="34" t="s">
        <v>75</v>
      </c>
      <c r="C31" s="34"/>
      <c r="D31" s="34">
        <v>1</v>
      </c>
      <c r="E31" s="36">
        <f>IF($D$31=1,E20*0.00522,IF($D$31=2,E20*1.044,E20*2.436))</f>
        <v>9918</v>
      </c>
      <c r="F31" s="36">
        <f>IF($D$31=1,F20*0.00522,IF($D$31=2,F20*1.044,F20*2.436))</f>
        <v>9918</v>
      </c>
      <c r="G31" s="36">
        <f t="shared" ref="G31:P31" si="12">IF($D$31=1,G20*0.00522,IF($D$31=2,G20*1.044,G20*2.436))</f>
        <v>9918</v>
      </c>
      <c r="H31" s="36">
        <f t="shared" si="12"/>
        <v>9918</v>
      </c>
      <c r="I31" s="36">
        <f t="shared" si="12"/>
        <v>9918</v>
      </c>
      <c r="J31" s="36">
        <f t="shared" si="12"/>
        <v>9918</v>
      </c>
      <c r="K31" s="36">
        <f t="shared" si="12"/>
        <v>9918</v>
      </c>
      <c r="L31" s="36">
        <f t="shared" si="12"/>
        <v>9918</v>
      </c>
      <c r="M31" s="36">
        <f t="shared" si="12"/>
        <v>9918</v>
      </c>
      <c r="N31" s="36">
        <f t="shared" si="12"/>
        <v>9918</v>
      </c>
      <c r="O31" s="36">
        <f t="shared" si="12"/>
        <v>9918</v>
      </c>
      <c r="P31" s="36">
        <f t="shared" si="12"/>
        <v>9918</v>
      </c>
    </row>
    <row r="32" spans="2:16" x14ac:dyDescent="0.25">
      <c r="B32" s="34"/>
      <c r="C32" s="34"/>
      <c r="D32" s="34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x14ac:dyDescent="0.25">
      <c r="B33" s="16" t="s">
        <v>76</v>
      </c>
      <c r="C33" s="16"/>
      <c r="D33" s="1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B34" s="16"/>
      <c r="C34" s="16"/>
      <c r="D34" s="16" t="s">
        <v>30</v>
      </c>
      <c r="E34" s="37">
        <f>E20*2%</f>
        <v>38000</v>
      </c>
      <c r="F34" s="37">
        <f>F20*2%</f>
        <v>38000</v>
      </c>
      <c r="G34" s="37">
        <f t="shared" ref="G34:P34" si="13">G20*2%</f>
        <v>38000</v>
      </c>
      <c r="H34" s="37">
        <f t="shared" si="13"/>
        <v>38000</v>
      </c>
      <c r="I34" s="37">
        <f t="shared" si="13"/>
        <v>38000</v>
      </c>
      <c r="J34" s="37">
        <f t="shared" si="13"/>
        <v>38000</v>
      </c>
      <c r="K34" s="37">
        <f t="shared" si="13"/>
        <v>38000</v>
      </c>
      <c r="L34" s="37">
        <f t="shared" si="13"/>
        <v>38000</v>
      </c>
      <c r="M34" s="37">
        <f t="shared" si="13"/>
        <v>38000</v>
      </c>
      <c r="N34" s="37">
        <f t="shared" si="13"/>
        <v>38000</v>
      </c>
      <c r="O34" s="37">
        <f t="shared" si="13"/>
        <v>38000</v>
      </c>
      <c r="P34" s="37">
        <f t="shared" si="13"/>
        <v>38000</v>
      </c>
    </row>
    <row r="35" spans="1:16" x14ac:dyDescent="0.25">
      <c r="B35" s="16"/>
      <c r="C35" s="16"/>
      <c r="D35" s="16" t="s">
        <v>31</v>
      </c>
      <c r="E35" s="37">
        <f>E20*3%</f>
        <v>57000</v>
      </c>
      <c r="F35" s="37">
        <f>F20*3%</f>
        <v>57000</v>
      </c>
      <c r="G35" s="37">
        <f t="shared" ref="G35:P35" si="14">G20*3%</f>
        <v>57000</v>
      </c>
      <c r="H35" s="37">
        <f t="shared" si="14"/>
        <v>57000</v>
      </c>
      <c r="I35" s="37">
        <f t="shared" si="14"/>
        <v>57000</v>
      </c>
      <c r="J35" s="37">
        <f t="shared" si="14"/>
        <v>57000</v>
      </c>
      <c r="K35" s="37">
        <f t="shared" si="14"/>
        <v>57000</v>
      </c>
      <c r="L35" s="37">
        <f t="shared" si="14"/>
        <v>57000</v>
      </c>
      <c r="M35" s="37">
        <f t="shared" si="14"/>
        <v>57000</v>
      </c>
      <c r="N35" s="37">
        <f t="shared" si="14"/>
        <v>57000</v>
      </c>
      <c r="O35" s="37">
        <f t="shared" si="14"/>
        <v>57000</v>
      </c>
      <c r="P35" s="37">
        <f t="shared" si="14"/>
        <v>57000</v>
      </c>
    </row>
    <row r="36" spans="1:16" x14ac:dyDescent="0.25">
      <c r="B36" s="16"/>
      <c r="C36" s="16"/>
      <c r="D36" s="16" t="s">
        <v>77</v>
      </c>
      <c r="E36" s="37">
        <f>E20*4%</f>
        <v>76000</v>
      </c>
      <c r="F36" s="37">
        <f>F20*4%</f>
        <v>76000</v>
      </c>
      <c r="G36" s="37">
        <f t="shared" ref="G36:P36" si="15">G20*4%</f>
        <v>76000</v>
      </c>
      <c r="H36" s="37">
        <f t="shared" si="15"/>
        <v>76000</v>
      </c>
      <c r="I36" s="37">
        <f t="shared" si="15"/>
        <v>76000</v>
      </c>
      <c r="J36" s="37">
        <f t="shared" si="15"/>
        <v>76000</v>
      </c>
      <c r="K36" s="37">
        <f t="shared" si="15"/>
        <v>76000</v>
      </c>
      <c r="L36" s="37">
        <f t="shared" si="15"/>
        <v>76000</v>
      </c>
      <c r="M36" s="37">
        <f t="shared" si="15"/>
        <v>76000</v>
      </c>
      <c r="N36" s="37">
        <f t="shared" si="15"/>
        <v>76000</v>
      </c>
      <c r="O36" s="37">
        <f t="shared" si="15"/>
        <v>76000</v>
      </c>
      <c r="P36" s="37">
        <f t="shared" si="15"/>
        <v>76000</v>
      </c>
    </row>
    <row r="37" spans="1:16" x14ac:dyDescent="0.25">
      <c r="B37" s="38"/>
      <c r="C37" s="38"/>
      <c r="D37" s="38" t="s">
        <v>78</v>
      </c>
      <c r="E37" s="39">
        <f>(25/3)%*E19</f>
        <v>158333.33333333334</v>
      </c>
      <c r="F37" s="39">
        <f t="shared" ref="F37:P37" si="16">(25/3)%*F19</f>
        <v>158333.33333333334</v>
      </c>
      <c r="G37" s="39">
        <f t="shared" si="16"/>
        <v>158333.33333333334</v>
      </c>
      <c r="H37" s="39">
        <f t="shared" si="16"/>
        <v>158333.33333333334</v>
      </c>
      <c r="I37" s="39">
        <f t="shared" si="16"/>
        <v>158333.33333333334</v>
      </c>
      <c r="J37" s="39">
        <f t="shared" si="16"/>
        <v>158333.33333333334</v>
      </c>
      <c r="K37" s="39">
        <f t="shared" si="16"/>
        <v>158333.33333333334</v>
      </c>
      <c r="L37" s="39">
        <f t="shared" si="16"/>
        <v>158333.33333333334</v>
      </c>
      <c r="M37" s="39">
        <f t="shared" si="16"/>
        <v>158333.33333333334</v>
      </c>
      <c r="N37" s="39">
        <f t="shared" si="16"/>
        <v>158333.33333333334</v>
      </c>
      <c r="O37" s="39">
        <f t="shared" si="16"/>
        <v>158333.33333333334</v>
      </c>
      <c r="P37" s="39">
        <f t="shared" si="16"/>
        <v>158333.33333333334</v>
      </c>
    </row>
    <row r="38" spans="1:16" x14ac:dyDescent="0.25">
      <c r="B38" s="38"/>
      <c r="C38" s="38"/>
      <c r="D38" s="38" t="s">
        <v>79</v>
      </c>
      <c r="E38" s="39">
        <f>(25/3)%*E19</f>
        <v>158333.33333333334</v>
      </c>
      <c r="F38" s="39">
        <f t="shared" ref="F38:P38" si="17">(25/3)%*F19</f>
        <v>158333.33333333334</v>
      </c>
      <c r="G38" s="39">
        <f t="shared" si="17"/>
        <v>158333.33333333334</v>
      </c>
      <c r="H38" s="39">
        <f t="shared" si="17"/>
        <v>158333.33333333334</v>
      </c>
      <c r="I38" s="39">
        <f t="shared" si="17"/>
        <v>158333.33333333334</v>
      </c>
      <c r="J38" s="39">
        <f t="shared" si="17"/>
        <v>158333.33333333334</v>
      </c>
      <c r="K38" s="39">
        <f t="shared" si="17"/>
        <v>158333.33333333334</v>
      </c>
      <c r="L38" s="39">
        <f t="shared" si="17"/>
        <v>158333.33333333334</v>
      </c>
      <c r="M38" s="39">
        <f t="shared" si="17"/>
        <v>158333.33333333334</v>
      </c>
      <c r="N38" s="39">
        <f t="shared" si="17"/>
        <v>158333.33333333334</v>
      </c>
      <c r="O38" s="39">
        <f t="shared" si="17"/>
        <v>158333.33333333334</v>
      </c>
      <c r="P38" s="39">
        <f t="shared" si="17"/>
        <v>158333.33333333334</v>
      </c>
    </row>
    <row r="39" spans="1:16" x14ac:dyDescent="0.25">
      <c r="B39" s="38"/>
      <c r="C39" s="38"/>
      <c r="D39" s="38" t="s">
        <v>80</v>
      </c>
      <c r="E39" s="39">
        <f>12%*E38</f>
        <v>19000</v>
      </c>
      <c r="F39" s="39">
        <f>12%*F38</f>
        <v>19000</v>
      </c>
      <c r="G39" s="39">
        <f t="shared" ref="G39:P39" si="18">12%*G38</f>
        <v>19000</v>
      </c>
      <c r="H39" s="39">
        <f t="shared" si="18"/>
        <v>19000</v>
      </c>
      <c r="I39" s="39">
        <f t="shared" si="18"/>
        <v>19000</v>
      </c>
      <c r="J39" s="39">
        <f t="shared" si="18"/>
        <v>19000</v>
      </c>
      <c r="K39" s="39">
        <f t="shared" si="18"/>
        <v>19000</v>
      </c>
      <c r="L39" s="39">
        <f t="shared" si="18"/>
        <v>19000</v>
      </c>
      <c r="M39" s="39">
        <f t="shared" si="18"/>
        <v>19000</v>
      </c>
      <c r="N39" s="39">
        <f t="shared" si="18"/>
        <v>19000</v>
      </c>
      <c r="O39" s="39">
        <f t="shared" si="18"/>
        <v>19000</v>
      </c>
      <c r="P39" s="39">
        <f t="shared" si="18"/>
        <v>19000</v>
      </c>
    </row>
    <row r="40" spans="1:16" x14ac:dyDescent="0.25">
      <c r="B40" s="38"/>
      <c r="C40" s="38"/>
      <c r="D40" s="38" t="s">
        <v>81</v>
      </c>
      <c r="E40" s="39">
        <f>(25/6)%*E12</f>
        <v>79166.666666666672</v>
      </c>
      <c r="F40" s="39">
        <f>(25/6)%*F12</f>
        <v>79166.666666666672</v>
      </c>
      <c r="G40" s="39">
        <f t="shared" ref="G40:O40" si="19">(25/6)%*G12</f>
        <v>79166.666666666672</v>
      </c>
      <c r="H40" s="39">
        <f t="shared" si="19"/>
        <v>79166.666666666672</v>
      </c>
      <c r="I40" s="39">
        <f t="shared" si="19"/>
        <v>79166.666666666672</v>
      </c>
      <c r="J40" s="39">
        <f t="shared" si="19"/>
        <v>79166.666666666672</v>
      </c>
      <c r="K40" s="39">
        <f t="shared" si="19"/>
        <v>79166.666666666672</v>
      </c>
      <c r="L40" s="39">
        <f t="shared" si="19"/>
        <v>79166.666666666672</v>
      </c>
      <c r="M40" s="39">
        <f t="shared" si="19"/>
        <v>79166.666666666672</v>
      </c>
      <c r="N40" s="39">
        <f t="shared" si="19"/>
        <v>79166.666666666672</v>
      </c>
      <c r="O40" s="39">
        <f t="shared" si="19"/>
        <v>79166.666666666672</v>
      </c>
      <c r="P40" s="39">
        <f>(25/6)%*P12</f>
        <v>79166.666666666672</v>
      </c>
    </row>
    <row r="41" spans="1:16" x14ac:dyDescent="0.25">
      <c r="C41" s="254" t="s">
        <v>82</v>
      </c>
      <c r="D41" s="254"/>
      <c r="E41" s="32">
        <f>E19+E25+E29+E31+E34+E35+E36+E37+E38+E39+E40</f>
        <v>2885251.3333333335</v>
      </c>
      <c r="F41" s="32">
        <f>F19+F25+F29+F31+F34+F35+F36+F37+F38+F39+F40</f>
        <v>2885251.3333333335</v>
      </c>
      <c r="G41" s="32">
        <f>G19+G25+G29+G31+G34+G35+G36+G37+G38+G39+G40</f>
        <v>2885251.3333333335</v>
      </c>
      <c r="H41" s="32">
        <f t="shared" ref="H41:P41" si="20">H19+H25+H29+H31+H34+H35+H36+H37+H38+H39+H40</f>
        <v>2885251.3333333335</v>
      </c>
      <c r="I41" s="32">
        <f t="shared" si="20"/>
        <v>2885251.3333333335</v>
      </c>
      <c r="J41" s="32">
        <f t="shared" si="20"/>
        <v>2885251.3333333335</v>
      </c>
      <c r="K41" s="32">
        <f t="shared" si="20"/>
        <v>2885251.3333333335</v>
      </c>
      <c r="L41" s="32">
        <f t="shared" si="20"/>
        <v>2885251.3333333335</v>
      </c>
      <c r="M41" s="32">
        <f t="shared" si="20"/>
        <v>2885251.3333333335</v>
      </c>
      <c r="N41" s="32">
        <f t="shared" si="20"/>
        <v>2885251.3333333335</v>
      </c>
      <c r="O41" s="32">
        <f t="shared" si="20"/>
        <v>2885251.3333333335</v>
      </c>
      <c r="P41" s="32">
        <f t="shared" si="20"/>
        <v>2885251.3333333335</v>
      </c>
    </row>
    <row r="42" spans="1:16" x14ac:dyDescent="0.25">
      <c r="C42" s="254" t="s">
        <v>83</v>
      </c>
      <c r="D42" s="254"/>
      <c r="E42" s="32">
        <f>E41-E37-E38-E39-E40</f>
        <v>2470418</v>
      </c>
      <c r="F42" s="32">
        <f>F41-F37-F38-F39-F40</f>
        <v>2470418</v>
      </c>
      <c r="G42" s="32">
        <f t="shared" ref="G42:P42" si="21">G41-G37-G38-G39-G40</f>
        <v>2470418</v>
      </c>
      <c r="H42" s="32">
        <f t="shared" si="21"/>
        <v>2470418</v>
      </c>
      <c r="I42" s="32">
        <f t="shared" si="21"/>
        <v>2470418</v>
      </c>
      <c r="J42" s="32">
        <f t="shared" si="21"/>
        <v>2470418</v>
      </c>
      <c r="K42" s="32">
        <f t="shared" si="21"/>
        <v>2470418</v>
      </c>
      <c r="L42" s="32">
        <f t="shared" si="21"/>
        <v>2470418</v>
      </c>
      <c r="M42" s="32">
        <f t="shared" si="21"/>
        <v>2470418</v>
      </c>
      <c r="N42" s="32">
        <f t="shared" si="21"/>
        <v>2470418</v>
      </c>
      <c r="O42" s="32">
        <f t="shared" si="21"/>
        <v>2470418</v>
      </c>
      <c r="P42" s="32">
        <f t="shared" si="21"/>
        <v>2470418</v>
      </c>
    </row>
    <row r="43" spans="1:16" x14ac:dyDescent="0.25">
      <c r="C43" s="254" t="s">
        <v>84</v>
      </c>
      <c r="D43" s="254"/>
      <c r="E43" s="73">
        <f>+$I$3</f>
        <v>3</v>
      </c>
      <c r="F43" s="88">
        <f t="shared" ref="F43:P43" si="22">+$I$3</f>
        <v>3</v>
      </c>
      <c r="G43" s="88">
        <f t="shared" si="22"/>
        <v>3</v>
      </c>
      <c r="H43" s="88">
        <f t="shared" si="22"/>
        <v>3</v>
      </c>
      <c r="I43" s="88">
        <f t="shared" si="22"/>
        <v>3</v>
      </c>
      <c r="J43" s="88">
        <f t="shared" si="22"/>
        <v>3</v>
      </c>
      <c r="K43" s="88">
        <f t="shared" si="22"/>
        <v>3</v>
      </c>
      <c r="L43" s="88">
        <f t="shared" si="22"/>
        <v>3</v>
      </c>
      <c r="M43" s="88">
        <f t="shared" si="22"/>
        <v>3</v>
      </c>
      <c r="N43" s="88">
        <f t="shared" si="22"/>
        <v>3</v>
      </c>
      <c r="O43" s="88">
        <f t="shared" si="22"/>
        <v>3</v>
      </c>
      <c r="P43" s="88">
        <f t="shared" si="22"/>
        <v>3</v>
      </c>
    </row>
    <row r="44" spans="1:16" x14ac:dyDescent="0.25">
      <c r="A44" s="40">
        <f>(((E41*100)/E20)-100)/100</f>
        <v>0.51855333333333364</v>
      </c>
      <c r="C44" s="254" t="s">
        <v>85</v>
      </c>
      <c r="D44" s="254"/>
      <c r="E44" s="32">
        <f>E42*E43</f>
        <v>7411254</v>
      </c>
      <c r="F44" s="32">
        <f>F42*F43</f>
        <v>7411254</v>
      </c>
      <c r="G44" s="32">
        <f t="shared" ref="G44:P44" si="23">G42*G43</f>
        <v>7411254</v>
      </c>
      <c r="H44" s="32">
        <f t="shared" si="23"/>
        <v>7411254</v>
      </c>
      <c r="I44" s="32">
        <f t="shared" si="23"/>
        <v>7411254</v>
      </c>
      <c r="J44" s="32">
        <f t="shared" si="23"/>
        <v>7411254</v>
      </c>
      <c r="K44" s="32">
        <f t="shared" si="23"/>
        <v>7411254</v>
      </c>
      <c r="L44" s="32">
        <f t="shared" si="23"/>
        <v>7411254</v>
      </c>
      <c r="M44" s="32">
        <f t="shared" si="23"/>
        <v>7411254</v>
      </c>
      <c r="N44" s="32">
        <f t="shared" si="23"/>
        <v>7411254</v>
      </c>
      <c r="O44" s="32">
        <f t="shared" si="23"/>
        <v>7411254</v>
      </c>
      <c r="P44" s="32">
        <f t="shared" si="23"/>
        <v>7411254</v>
      </c>
    </row>
    <row r="45" spans="1:16" x14ac:dyDescent="0.25">
      <c r="D45" s="38" t="s">
        <v>78</v>
      </c>
      <c r="E45" s="41"/>
      <c r="F45" s="41"/>
      <c r="G45" s="41"/>
      <c r="H45" s="41"/>
      <c r="I45" s="41"/>
      <c r="J45" s="41">
        <f>SUM(E37:J37)*J43</f>
        <v>2850000.0000000005</v>
      </c>
      <c r="K45" s="41"/>
      <c r="L45" s="41"/>
      <c r="M45" s="41"/>
      <c r="N45" s="41"/>
      <c r="O45" s="41"/>
      <c r="P45" s="41">
        <f>SUM(K37:P37)*P43</f>
        <v>2850000.0000000005</v>
      </c>
    </row>
    <row r="46" spans="1:16" x14ac:dyDescent="0.25">
      <c r="D46" s="38" t="s">
        <v>79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>
        <f>SUM(E38:P38)*P43</f>
        <v>5699999.9999999991</v>
      </c>
    </row>
    <row r="47" spans="1:16" x14ac:dyDescent="0.25">
      <c r="D47" s="38" t="s">
        <v>80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>
        <f>SUM(E39:P39)*P43</f>
        <v>684000</v>
      </c>
    </row>
    <row r="48" spans="1:16" x14ac:dyDescent="0.25">
      <c r="D48" s="38" t="s">
        <v>81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>
        <f>SUM(E40:P40)*P43</f>
        <v>2849999.9999999995</v>
      </c>
    </row>
    <row r="49" spans="3:16" x14ac:dyDescent="0.25">
      <c r="P49" s="32"/>
    </row>
    <row r="50" spans="3:16" x14ac:dyDescent="0.25">
      <c r="C50" s="254" t="s">
        <v>86</v>
      </c>
      <c r="D50" s="254"/>
      <c r="E50" s="32">
        <f>SUM(E44:E48)</f>
        <v>7411254</v>
      </c>
      <c r="F50" s="32">
        <f t="shared" ref="F50:O50" si="24">SUM(F44:F48)</f>
        <v>7411254</v>
      </c>
      <c r="G50" s="32">
        <f t="shared" si="24"/>
        <v>7411254</v>
      </c>
      <c r="H50" s="32">
        <f t="shared" si="24"/>
        <v>7411254</v>
      </c>
      <c r="I50" s="32">
        <f t="shared" si="24"/>
        <v>7411254</v>
      </c>
      <c r="J50" s="32">
        <f>SUM(J44:J48)</f>
        <v>10261254</v>
      </c>
      <c r="K50" s="32">
        <f t="shared" si="24"/>
        <v>7411254</v>
      </c>
      <c r="L50" s="32">
        <f t="shared" si="24"/>
        <v>7411254</v>
      </c>
      <c r="M50" s="32">
        <f t="shared" si="24"/>
        <v>7411254</v>
      </c>
      <c r="N50" s="32">
        <f t="shared" si="24"/>
        <v>7411254</v>
      </c>
      <c r="O50" s="32">
        <f t="shared" si="24"/>
        <v>7411254</v>
      </c>
      <c r="P50" s="32">
        <f>SUM(P44:P48)</f>
        <v>19495254</v>
      </c>
    </row>
    <row r="51" spans="3:16" x14ac:dyDescent="0.25">
      <c r="E51" s="79">
        <f>E41*E43</f>
        <v>8655754</v>
      </c>
      <c r="F51" s="79">
        <f t="shared" ref="F51:O51" si="25">F41*F43</f>
        <v>8655754</v>
      </c>
      <c r="G51" s="79">
        <f t="shared" si="25"/>
        <v>8655754</v>
      </c>
      <c r="H51" s="79">
        <f t="shared" si="25"/>
        <v>8655754</v>
      </c>
      <c r="I51" s="79">
        <f t="shared" si="25"/>
        <v>8655754</v>
      </c>
      <c r="J51" s="79">
        <f t="shared" si="25"/>
        <v>8655754</v>
      </c>
      <c r="K51" s="79">
        <f t="shared" si="25"/>
        <v>8655754</v>
      </c>
      <c r="L51" s="79">
        <f t="shared" si="25"/>
        <v>8655754</v>
      </c>
      <c r="M51" s="79">
        <f t="shared" si="25"/>
        <v>8655754</v>
      </c>
      <c r="N51" s="79">
        <f t="shared" si="25"/>
        <v>8655754</v>
      </c>
      <c r="O51" s="79">
        <f t="shared" si="25"/>
        <v>8655754</v>
      </c>
      <c r="P51" s="79">
        <f>P41*P43</f>
        <v>8655754</v>
      </c>
    </row>
    <row r="52" spans="3:16" x14ac:dyDescent="0.25">
      <c r="C52" s="254" t="s">
        <v>146</v>
      </c>
      <c r="D52" s="254"/>
      <c r="E52" s="79">
        <f>SUM(E37:E40)*E43</f>
        <v>1244500</v>
      </c>
      <c r="F52" s="79">
        <f>SUM(F37:F40)*F43</f>
        <v>1244500</v>
      </c>
      <c r="G52" s="79">
        <f t="shared" ref="G52:P52" si="26">SUM(G37:G40)*G43</f>
        <v>1244500</v>
      </c>
      <c r="H52" s="79">
        <f t="shared" si="26"/>
        <v>1244500</v>
      </c>
      <c r="I52" s="79">
        <f t="shared" si="26"/>
        <v>1244500</v>
      </c>
      <c r="J52" s="79">
        <f t="shared" si="26"/>
        <v>1244500</v>
      </c>
      <c r="K52" s="79">
        <f t="shared" si="26"/>
        <v>1244500</v>
      </c>
      <c r="L52" s="79">
        <f t="shared" si="26"/>
        <v>1244500</v>
      </c>
      <c r="M52" s="79">
        <f t="shared" si="26"/>
        <v>1244500</v>
      </c>
      <c r="N52" s="79">
        <f t="shared" si="26"/>
        <v>1244500</v>
      </c>
      <c r="O52" s="79">
        <f t="shared" si="26"/>
        <v>1244500</v>
      </c>
      <c r="P52" s="79">
        <f t="shared" si="26"/>
        <v>1244500</v>
      </c>
    </row>
    <row r="53" spans="3:16" ht="15.75" thickBot="1" x14ac:dyDescent="0.3">
      <c r="E53" s="79">
        <f>E52</f>
        <v>1244500</v>
      </c>
      <c r="F53" s="79">
        <f>E53+F52</f>
        <v>2489000</v>
      </c>
      <c r="G53" s="79">
        <f t="shared" ref="G53:I53" si="27">F53+G52</f>
        <v>3733500</v>
      </c>
      <c r="H53" s="79">
        <f t="shared" si="27"/>
        <v>4978000</v>
      </c>
      <c r="I53" s="79">
        <f t="shared" si="27"/>
        <v>6222500</v>
      </c>
      <c r="J53" s="79">
        <f>J52+I53-J45</f>
        <v>4617000</v>
      </c>
      <c r="K53" s="79">
        <f>K52+J53</f>
        <v>5861500</v>
      </c>
      <c r="L53" s="79">
        <f>K53+L52</f>
        <v>7106000</v>
      </c>
      <c r="M53" s="79">
        <f t="shared" ref="M53:O53" si="28">L53+M52</f>
        <v>8350500</v>
      </c>
      <c r="N53" s="79">
        <f t="shared" si="28"/>
        <v>9595000</v>
      </c>
      <c r="O53" s="79">
        <f t="shared" si="28"/>
        <v>10839500</v>
      </c>
      <c r="P53" s="79">
        <f>O53+P52-P45-P46-P47-P48</f>
        <v>0</v>
      </c>
    </row>
    <row r="54" spans="3:16" x14ac:dyDescent="0.25">
      <c r="C54" s="42" t="s">
        <v>87</v>
      </c>
      <c r="D54" s="43">
        <f>SUM(E44:G44)</f>
        <v>22233762</v>
      </c>
      <c r="E54" s="43">
        <f>SUM(H44:J44)</f>
        <v>22233762</v>
      </c>
      <c r="F54" s="43">
        <f>SUM(K44:M44)</f>
        <v>22233762</v>
      </c>
      <c r="G54" s="44">
        <f>SUM(N44:P44)</f>
        <v>22233762</v>
      </c>
    </row>
    <row r="55" spans="3:16" x14ac:dyDescent="0.25">
      <c r="C55" s="45" t="s">
        <v>78</v>
      </c>
      <c r="E55" s="32">
        <f>J45</f>
        <v>2850000.0000000005</v>
      </c>
      <c r="G55" s="46">
        <f>P45</f>
        <v>2850000.0000000005</v>
      </c>
    </row>
    <row r="56" spans="3:16" x14ac:dyDescent="0.25">
      <c r="C56" s="45" t="s">
        <v>79</v>
      </c>
      <c r="G56" s="46"/>
    </row>
    <row r="57" spans="3:16" x14ac:dyDescent="0.25">
      <c r="C57" s="45" t="s">
        <v>88</v>
      </c>
      <c r="G57" s="46"/>
    </row>
    <row r="58" spans="3:16" ht="15.75" thickBot="1" x14ac:dyDescent="0.3">
      <c r="C58" s="45" t="s">
        <v>81</v>
      </c>
      <c r="G58" s="46">
        <f>P48</f>
        <v>2849999.9999999995</v>
      </c>
    </row>
    <row r="59" spans="3:16" ht="15.75" thickBot="1" x14ac:dyDescent="0.3">
      <c r="C59" s="47" t="s">
        <v>89</v>
      </c>
      <c r="D59" s="48">
        <f>SUM(D54:D58)</f>
        <v>22233762</v>
      </c>
      <c r="E59" s="48">
        <f>SUM(E54:E58)</f>
        <v>25083762</v>
      </c>
      <c r="F59" s="48">
        <f>SUM(F54:F58)</f>
        <v>22233762</v>
      </c>
      <c r="G59" s="49">
        <f>SUM(G54:G58)</f>
        <v>27933762</v>
      </c>
    </row>
    <row r="61" spans="3:16" ht="15.75" x14ac:dyDescent="0.25">
      <c r="D61" s="50">
        <f>SUM(D59:G59)</f>
        <v>97485048</v>
      </c>
    </row>
  </sheetData>
  <mergeCells count="21">
    <mergeCell ref="C44:D44"/>
    <mergeCell ref="C50:D50"/>
    <mergeCell ref="C52:D52"/>
    <mergeCell ref="B19:B20"/>
    <mergeCell ref="C19:D19"/>
    <mergeCell ref="C20:D20"/>
    <mergeCell ref="C41:D41"/>
    <mergeCell ref="C42:D42"/>
    <mergeCell ref="C43:D43"/>
    <mergeCell ref="B12:B16"/>
    <mergeCell ref="C12:D12"/>
    <mergeCell ref="C13:D13"/>
    <mergeCell ref="C14:D14"/>
    <mergeCell ref="C15:D15"/>
    <mergeCell ref="C16:D16"/>
    <mergeCell ref="C11:D11"/>
    <mergeCell ref="A7:B7"/>
    <mergeCell ref="C7:D7"/>
    <mergeCell ref="C8:D8"/>
    <mergeCell ref="C9:D9"/>
    <mergeCell ref="C10:D10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D295-1489-49AD-A436-E27AAD5574A2}">
  <dimension ref="A1:AF21"/>
  <sheetViews>
    <sheetView zoomScale="60" zoomScaleNormal="60" workbookViewId="0">
      <selection activeCell="H8" sqref="H8"/>
    </sheetView>
  </sheetViews>
  <sheetFormatPr baseColWidth="10" defaultRowHeight="15" x14ac:dyDescent="0.25"/>
  <cols>
    <col min="1" max="1" width="15" style="57" customWidth="1"/>
    <col min="2" max="2" width="15.140625" style="57" customWidth="1"/>
    <col min="3" max="3" width="17" style="57" bestFit="1" customWidth="1"/>
    <col min="4" max="4" width="15.140625" style="57" customWidth="1"/>
    <col min="5" max="5" width="16.5703125" style="57" customWidth="1"/>
    <col min="6" max="15" width="15.140625" style="57" customWidth="1"/>
    <col min="16" max="16384" width="11.42578125" style="57"/>
  </cols>
  <sheetData>
    <row r="1" spans="1:32" x14ac:dyDescent="0.25">
      <c r="F1" s="256" t="s">
        <v>148</v>
      </c>
      <c r="G1" s="256"/>
    </row>
    <row r="2" spans="1:32" x14ac:dyDescent="0.25">
      <c r="A2" s="109"/>
      <c r="B2" s="110" t="s">
        <v>32</v>
      </c>
      <c r="F2" s="110" t="s">
        <v>149</v>
      </c>
      <c r="G2" s="110" t="s">
        <v>150</v>
      </c>
    </row>
    <row r="3" spans="1:32" x14ac:dyDescent="0.25">
      <c r="A3" s="255" t="s">
        <v>97</v>
      </c>
      <c r="B3" s="255"/>
      <c r="C3" s="110">
        <v>2021</v>
      </c>
      <c r="F3" s="61">
        <v>870000</v>
      </c>
      <c r="G3" s="61">
        <v>230000</v>
      </c>
    </row>
    <row r="4" spans="1:32" x14ac:dyDescent="0.25">
      <c r="A4" s="255" t="s">
        <v>152</v>
      </c>
      <c r="B4" s="255"/>
      <c r="C4" s="62">
        <f>SUM(F3:F6)</f>
        <v>3620000</v>
      </c>
      <c r="F4" s="61">
        <v>980000</v>
      </c>
      <c r="G4" s="61">
        <v>290000</v>
      </c>
    </row>
    <row r="5" spans="1:32" x14ac:dyDescent="0.25">
      <c r="A5" s="255" t="s">
        <v>151</v>
      </c>
      <c r="B5" s="255"/>
      <c r="C5" s="62">
        <f>SUM(G3:G6)</f>
        <v>1105000</v>
      </c>
      <c r="F5" s="61">
        <v>750000</v>
      </c>
      <c r="G5" s="61">
        <v>235000</v>
      </c>
    </row>
    <row r="6" spans="1:32" x14ac:dyDescent="0.25">
      <c r="A6" s="255" t="s">
        <v>153</v>
      </c>
      <c r="B6" s="255"/>
      <c r="C6" s="62">
        <f>90000*4</f>
        <v>360000</v>
      </c>
      <c r="F6" s="61">
        <v>1020000</v>
      </c>
      <c r="G6" s="61">
        <v>350000</v>
      </c>
    </row>
    <row r="7" spans="1:32" x14ac:dyDescent="0.25">
      <c r="A7" s="255" t="s">
        <v>115</v>
      </c>
      <c r="B7" s="255"/>
      <c r="C7" s="62">
        <v>1250000</v>
      </c>
    </row>
    <row r="8" spans="1:32" x14ac:dyDescent="0.25">
      <c r="A8" s="255" t="s">
        <v>154</v>
      </c>
      <c r="B8" s="255"/>
      <c r="C8" s="62">
        <v>250000</v>
      </c>
    </row>
    <row r="9" spans="1:32" x14ac:dyDescent="0.25">
      <c r="A9" s="255" t="s">
        <v>155</v>
      </c>
      <c r="B9" s="255"/>
      <c r="C9" s="62">
        <v>650000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1:32" x14ac:dyDescent="0.25">
      <c r="A10" s="255" t="s">
        <v>156</v>
      </c>
      <c r="B10" s="255"/>
      <c r="C10" s="62">
        <v>350000</v>
      </c>
    </row>
    <row r="11" spans="1:32" x14ac:dyDescent="0.25">
      <c r="C11" s="111">
        <f>SUM(C4:C10)</f>
        <v>7585000</v>
      </c>
    </row>
    <row r="12" spans="1:32" s="76" customForma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</row>
    <row r="13" spans="1:32" ht="15.75" thickBot="1" x14ac:dyDescent="0.3"/>
    <row r="14" spans="1:32" x14ac:dyDescent="0.25">
      <c r="A14" s="134" t="s">
        <v>102</v>
      </c>
      <c r="B14" s="135" t="s">
        <v>10</v>
      </c>
      <c r="C14" s="135" t="s">
        <v>11</v>
      </c>
      <c r="D14" s="135" t="s">
        <v>12</v>
      </c>
      <c r="E14" s="135" t="s">
        <v>13</v>
      </c>
      <c r="F14" s="135" t="s">
        <v>14</v>
      </c>
      <c r="G14" s="135" t="s">
        <v>15</v>
      </c>
      <c r="H14" s="135" t="s">
        <v>16</v>
      </c>
      <c r="I14" s="135" t="s">
        <v>17</v>
      </c>
      <c r="J14" s="135" t="s">
        <v>18</v>
      </c>
      <c r="K14" s="135" t="s">
        <v>19</v>
      </c>
      <c r="L14" s="135" t="s">
        <v>20</v>
      </c>
      <c r="M14" s="136" t="s">
        <v>21</v>
      </c>
    </row>
    <row r="15" spans="1:32" x14ac:dyDescent="0.25">
      <c r="A15" s="137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9"/>
    </row>
    <row r="16" spans="1:32" x14ac:dyDescent="0.25">
      <c r="A16" s="137" t="s">
        <v>118</v>
      </c>
      <c r="B16" s="140">
        <f>'Nomina-Operarios'!E50</f>
        <v>5730713.5999999996</v>
      </c>
      <c r="C16" s="140">
        <f>'Nomina-Operarios'!F50</f>
        <v>5730713.5999999996</v>
      </c>
      <c r="D16" s="140">
        <f>'Nomina-Operarios'!G50</f>
        <v>5730713.5999999996</v>
      </c>
      <c r="E16" s="140">
        <f>'Nomina-Operarios'!H50</f>
        <v>5730713.5999999996</v>
      </c>
      <c r="F16" s="140">
        <f>'Nomina-Operarios'!I50</f>
        <v>5730713.5999999996</v>
      </c>
      <c r="G16" s="140">
        <f>'Nomina-Operarios'!J50</f>
        <v>7983621.5999999996</v>
      </c>
      <c r="H16" s="140">
        <f>'Nomina-Operarios'!K50</f>
        <v>5730713.5999999996</v>
      </c>
      <c r="I16" s="140">
        <f>'Nomina-Operarios'!L50</f>
        <v>5730713.5999999996</v>
      </c>
      <c r="J16" s="140">
        <f>'Nomina-Operarios'!M50</f>
        <v>5730713.5999999996</v>
      </c>
      <c r="K16" s="140">
        <f>'Nomina-Operarios'!N50</f>
        <v>5730713.5999999996</v>
      </c>
      <c r="L16" s="140">
        <f>'Nomina-Operarios'!O50</f>
        <v>5730713.5999999996</v>
      </c>
      <c r="M16" s="141">
        <f>'Nomina-Operarios'!P50</f>
        <v>15070135.519999998</v>
      </c>
    </row>
    <row r="17" spans="1:13" x14ac:dyDescent="0.25">
      <c r="A17" s="137" t="s">
        <v>119</v>
      </c>
      <c r="B17" s="140">
        <f>'Nomina-Administradores'!E50</f>
        <v>7411254</v>
      </c>
      <c r="C17" s="140">
        <f>'Nomina-Administradores'!F50</f>
        <v>7411254</v>
      </c>
      <c r="D17" s="140">
        <f>'Nomina-Administradores'!G50</f>
        <v>7411254</v>
      </c>
      <c r="E17" s="140">
        <f>'Nomina-Administradores'!H50</f>
        <v>7411254</v>
      </c>
      <c r="F17" s="140">
        <f>'Nomina-Administradores'!I50</f>
        <v>7411254</v>
      </c>
      <c r="G17" s="140">
        <f>'Nomina-Administradores'!J50</f>
        <v>10261254</v>
      </c>
      <c r="H17" s="140">
        <f>'Nomina-Administradores'!K50</f>
        <v>7411254</v>
      </c>
      <c r="I17" s="140">
        <f>'Nomina-Administradores'!L50</f>
        <v>7411254</v>
      </c>
      <c r="J17" s="140">
        <f>'Nomina-Administradores'!M50</f>
        <v>7411254</v>
      </c>
      <c r="K17" s="140">
        <f>'Nomina-Administradores'!N50</f>
        <v>7411254</v>
      </c>
      <c r="L17" s="140">
        <f>'Nomina-Administradores'!O50</f>
        <v>7411254</v>
      </c>
      <c r="M17" s="141">
        <f>'Nomina-Administradores'!P50</f>
        <v>19495254</v>
      </c>
    </row>
    <row r="18" spans="1:13" x14ac:dyDescent="0.25">
      <c r="A18" s="137" t="s">
        <v>120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/>
    </row>
    <row r="19" spans="1:13" x14ac:dyDescent="0.25">
      <c r="A19" s="137" t="s">
        <v>121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</row>
    <row r="20" spans="1:13" x14ac:dyDescent="0.25">
      <c r="A20" s="137" t="s">
        <v>122</v>
      </c>
      <c r="B20" s="140">
        <f>$C$11</f>
        <v>7585000</v>
      </c>
      <c r="C20" s="140">
        <f t="shared" ref="C20:M20" si="0">$C$11</f>
        <v>7585000</v>
      </c>
      <c r="D20" s="140">
        <f t="shared" si="0"/>
        <v>7585000</v>
      </c>
      <c r="E20" s="140">
        <f t="shared" si="0"/>
        <v>7585000</v>
      </c>
      <c r="F20" s="140">
        <f t="shared" si="0"/>
        <v>7585000</v>
      </c>
      <c r="G20" s="140">
        <f t="shared" si="0"/>
        <v>7585000</v>
      </c>
      <c r="H20" s="140">
        <f t="shared" si="0"/>
        <v>7585000</v>
      </c>
      <c r="I20" s="140">
        <f t="shared" si="0"/>
        <v>7585000</v>
      </c>
      <c r="J20" s="140">
        <f t="shared" si="0"/>
        <v>7585000</v>
      </c>
      <c r="K20" s="140">
        <f t="shared" si="0"/>
        <v>7585000</v>
      </c>
      <c r="L20" s="140">
        <f t="shared" si="0"/>
        <v>7585000</v>
      </c>
      <c r="M20" s="141">
        <f t="shared" si="0"/>
        <v>7585000</v>
      </c>
    </row>
    <row r="21" spans="1:13" ht="15.75" thickBot="1" x14ac:dyDescent="0.3">
      <c r="A21" s="142"/>
      <c r="B21" s="143">
        <f>SUM(B16:B20)</f>
        <v>20726967.600000001</v>
      </c>
      <c r="C21" s="143">
        <f t="shared" ref="C21:M21" si="1">SUM(C16:C20)</f>
        <v>20726967.600000001</v>
      </c>
      <c r="D21" s="143">
        <f t="shared" si="1"/>
        <v>20726967.600000001</v>
      </c>
      <c r="E21" s="143">
        <f t="shared" si="1"/>
        <v>20726967.600000001</v>
      </c>
      <c r="F21" s="143">
        <f t="shared" si="1"/>
        <v>20726967.600000001</v>
      </c>
      <c r="G21" s="143">
        <f t="shared" si="1"/>
        <v>25829875.600000001</v>
      </c>
      <c r="H21" s="143">
        <f t="shared" si="1"/>
        <v>20726967.600000001</v>
      </c>
      <c r="I21" s="143">
        <f t="shared" si="1"/>
        <v>20726967.600000001</v>
      </c>
      <c r="J21" s="143">
        <f t="shared" si="1"/>
        <v>20726967.600000001</v>
      </c>
      <c r="K21" s="143">
        <f t="shared" si="1"/>
        <v>20726967.600000001</v>
      </c>
      <c r="L21" s="143">
        <f t="shared" si="1"/>
        <v>20726967.600000001</v>
      </c>
      <c r="M21" s="144">
        <f t="shared" si="1"/>
        <v>42150389.519999996</v>
      </c>
    </row>
  </sheetData>
  <mergeCells count="9">
    <mergeCell ref="A8:B8"/>
    <mergeCell ref="A10:B10"/>
    <mergeCell ref="F1:G1"/>
    <mergeCell ref="A9:B9"/>
    <mergeCell ref="A3:B3"/>
    <mergeCell ref="A4:B4"/>
    <mergeCell ref="A5:B5"/>
    <mergeCell ref="A6:B6"/>
    <mergeCell ref="A7:B7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0AAA-F90F-43A4-B4B0-0DC3CAC1DBAF}">
  <dimension ref="B1:N49"/>
  <sheetViews>
    <sheetView topLeftCell="A28" zoomScale="60" zoomScaleNormal="60" workbookViewId="0">
      <selection activeCell="A49" sqref="A49"/>
    </sheetView>
  </sheetViews>
  <sheetFormatPr baseColWidth="10" defaultRowHeight="15" x14ac:dyDescent="0.25"/>
  <cols>
    <col min="1" max="1" width="11.42578125" style="69"/>
    <col min="2" max="2" width="33.28515625" style="69" customWidth="1"/>
    <col min="3" max="4" width="18.28515625" style="69" customWidth="1"/>
    <col min="5" max="5" width="23.5703125" style="69" customWidth="1"/>
    <col min="6" max="7" width="18.28515625" style="69" customWidth="1"/>
    <col min="8" max="8" width="21.42578125" style="69" customWidth="1"/>
    <col min="9" max="9" width="23.5703125" style="69" customWidth="1"/>
    <col min="10" max="10" width="18.28515625" style="69" customWidth="1"/>
    <col min="11" max="11" width="21.85546875" style="69" customWidth="1"/>
    <col min="12" max="12" width="22.140625" style="69" customWidth="1"/>
    <col min="13" max="13" width="19.7109375" style="69" customWidth="1"/>
    <col min="14" max="14" width="22.140625" style="69" customWidth="1"/>
    <col min="15" max="16384" width="11.42578125" style="69"/>
  </cols>
  <sheetData>
    <row r="1" spans="2:14" ht="15.75" thickBot="1" x14ac:dyDescent="0.3"/>
    <row r="2" spans="2:14" ht="36.75" thickBot="1" x14ac:dyDescent="0.3">
      <c r="B2" s="257" t="s">
        <v>116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</row>
    <row r="3" spans="2:14" x14ac:dyDescent="0.25">
      <c r="B3" s="115" t="s">
        <v>102</v>
      </c>
      <c r="C3" s="112" t="s">
        <v>10</v>
      </c>
      <c r="D3" s="112" t="s">
        <v>11</v>
      </c>
      <c r="E3" s="112" t="s">
        <v>12</v>
      </c>
      <c r="F3" s="112" t="s">
        <v>13</v>
      </c>
      <c r="G3" s="112" t="s">
        <v>14</v>
      </c>
      <c r="H3" s="112" t="s">
        <v>15</v>
      </c>
      <c r="I3" s="112" t="s">
        <v>16</v>
      </c>
      <c r="J3" s="112" t="s">
        <v>17</v>
      </c>
      <c r="K3" s="112" t="s">
        <v>18</v>
      </c>
      <c r="L3" s="112" t="s">
        <v>19</v>
      </c>
      <c r="M3" s="112" t="s">
        <v>20</v>
      </c>
      <c r="N3" s="113" t="s">
        <v>21</v>
      </c>
    </row>
    <row r="4" spans="2:14" x14ac:dyDescent="0.25">
      <c r="B4" s="114" t="s">
        <v>103</v>
      </c>
      <c r="C4" s="61">
        <f>VLOOKUP(C3,'CONSOLIDADO DE COMPRAS Y VENTAS'!$A$8:$G$19,2,FALSE)</f>
        <v>69014295</v>
      </c>
      <c r="D4" s="61">
        <f>VLOOKUP(D3,'CONSOLIDADO DE COMPRAS Y VENTAS'!$A$8:$G$19,2,FALSE)</f>
        <v>69662950</v>
      </c>
      <c r="E4" s="61">
        <f>VLOOKUP(E3,'CONSOLIDADO DE COMPRAS Y VENTAS'!$A$8:$G$19,2,FALSE)</f>
        <v>65255050</v>
      </c>
      <c r="F4" s="61">
        <f>VLOOKUP(F3,'CONSOLIDADO DE COMPRAS Y VENTAS'!$A$8:$G$19,2,FALSE)</f>
        <v>69319250</v>
      </c>
      <c r="G4" s="61">
        <f>VLOOKUP(G3,'CONSOLIDADO DE COMPRAS Y VENTAS'!$A$8:$G$19,2,FALSE)</f>
        <v>65814700</v>
      </c>
      <c r="H4" s="61">
        <f>VLOOKUP(H3,'CONSOLIDADO DE COMPRAS Y VENTAS'!$A$8:$G$19,2,FALSE)</f>
        <v>65877350</v>
      </c>
      <c r="I4" s="61">
        <f>VLOOKUP(I3,'CONSOLIDADO DE COMPRAS Y VENTAS'!$A$8:$G$19,2,FALSE)</f>
        <v>66854375</v>
      </c>
      <c r="J4" s="61">
        <f>VLOOKUP(J3,'CONSOLIDADO DE COMPRAS Y VENTAS'!$A$8:$G$19,2,FALSE)</f>
        <v>66504550</v>
      </c>
      <c r="K4" s="61">
        <f>VLOOKUP(K3,'CONSOLIDADO DE COMPRAS Y VENTAS'!$A$8:$G$19,2,FALSE)</f>
        <v>66025050</v>
      </c>
      <c r="L4" s="61">
        <f>VLOOKUP(L3,'CONSOLIDADO DE COMPRAS Y VENTAS'!$A$8:$G$19,2,FALSE)</f>
        <v>66580850</v>
      </c>
      <c r="M4" s="61">
        <f>VLOOKUP(M3,'CONSOLIDADO DE COMPRAS Y VENTAS'!$A$8:$G$19,2,FALSE)</f>
        <v>66816400</v>
      </c>
      <c r="N4" s="80">
        <f>VLOOKUP(N3,'CONSOLIDADO DE COMPRAS Y VENTAS'!$A$8:$G$19,2,FALSE)</f>
        <v>67136300</v>
      </c>
    </row>
    <row r="5" spans="2:14" ht="29.25" customHeight="1" x14ac:dyDescent="0.25">
      <c r="B5" s="114" t="s">
        <v>104</v>
      </c>
      <c r="C5" s="61">
        <f>VLOOKUP(C3,'CONSOLIDADO DE COMPRAS Y VENTAS'!$A$25:$B$36,2,FALSE)</f>
        <v>33227460</v>
      </c>
      <c r="D5" s="61">
        <f>VLOOKUP(D3,'CONSOLIDADO DE COMPRAS Y VENTAS'!$A$25:$B$36,2,FALSE)</f>
        <v>33528600</v>
      </c>
      <c r="E5" s="61">
        <f>VLOOKUP(E3,'CONSOLIDADO DE COMPRAS Y VENTAS'!$A$25:$B$36,2,FALSE)</f>
        <v>31753400</v>
      </c>
      <c r="F5" s="61">
        <f>VLOOKUP(F3,'CONSOLIDADO DE COMPRAS Y VENTAS'!$A$25:$B$36,2,FALSE)</f>
        <v>33351500</v>
      </c>
      <c r="G5" s="61">
        <f>VLOOKUP(G3,'CONSOLIDADO DE COMPRAS Y VENTAS'!$A$25:$B$36,2,FALSE)</f>
        <v>31988600</v>
      </c>
      <c r="H5" s="61">
        <f>VLOOKUP(H3,'CONSOLIDADO DE COMPRAS Y VENTAS'!$A$25:$B$36,2,FALSE)</f>
        <v>32041800</v>
      </c>
      <c r="I5" s="61">
        <f>VLOOKUP(I3,'CONSOLIDADO DE COMPRAS Y VENTAS'!$A$25:$B$36,2,FALSE)</f>
        <v>32453750</v>
      </c>
      <c r="J5" s="61">
        <f>VLOOKUP(J3,'CONSOLIDADO DE COMPRAS Y VENTAS'!$A$25:$B$36,2,FALSE)</f>
        <v>32246900</v>
      </c>
      <c r="K5" s="61">
        <f>VLOOKUP(K3,'CONSOLIDADO DE COMPRAS Y VENTAS'!$A$25:$B$36,2,FALSE)</f>
        <v>32089400</v>
      </c>
      <c r="L5" s="61">
        <f>VLOOKUP(L3,'CONSOLIDADO DE COMPRAS Y VENTAS'!$A$25:$B$36,2,FALSE)</f>
        <v>32332300</v>
      </c>
      <c r="M5" s="61">
        <f>VLOOKUP(M3,'CONSOLIDADO DE COMPRAS Y VENTAS'!$A$25:$B$36,2,FALSE)</f>
        <v>32375700</v>
      </c>
      <c r="N5" s="80">
        <f>VLOOKUP(N3,'CONSOLIDADO DE COMPRAS Y VENTAS'!$A$25:$B$36,2,FALSE)</f>
        <v>32537400</v>
      </c>
    </row>
    <row r="6" spans="2:14" x14ac:dyDescent="0.25">
      <c r="B6" s="116" t="s">
        <v>105</v>
      </c>
      <c r="C6" s="78">
        <f>C4-C5</f>
        <v>35786835</v>
      </c>
      <c r="D6" s="78">
        <f t="shared" ref="D6:N6" si="0">D4-D5</f>
        <v>36134350</v>
      </c>
      <c r="E6" s="78">
        <f t="shared" si="0"/>
        <v>33501650</v>
      </c>
      <c r="F6" s="78">
        <f t="shared" si="0"/>
        <v>35967750</v>
      </c>
      <c r="G6" s="78">
        <f t="shared" si="0"/>
        <v>33826100</v>
      </c>
      <c r="H6" s="78">
        <f t="shared" si="0"/>
        <v>33835550</v>
      </c>
      <c r="I6" s="78">
        <f t="shared" si="0"/>
        <v>34400625</v>
      </c>
      <c r="J6" s="78">
        <f t="shared" si="0"/>
        <v>34257650</v>
      </c>
      <c r="K6" s="78">
        <f t="shared" si="0"/>
        <v>33935650</v>
      </c>
      <c r="L6" s="78">
        <f t="shared" si="0"/>
        <v>34248550</v>
      </c>
      <c r="M6" s="78">
        <f t="shared" si="0"/>
        <v>34440700</v>
      </c>
      <c r="N6" s="81">
        <f t="shared" si="0"/>
        <v>34598900</v>
      </c>
    </row>
    <row r="7" spans="2:14" x14ac:dyDescent="0.25">
      <c r="B7" s="114" t="s">
        <v>106</v>
      </c>
      <c r="C7" s="61">
        <f>'Nomina-Operarios'!E51+'Nomina-Administradores'!E51+'GASTOS DE OPERACION'!$C$11</f>
        <v>22937495.093333334</v>
      </c>
      <c r="D7" s="61">
        <f>'Nomina-Operarios'!F51+'Nomina-Administradores'!F51+'GASTOS DE OPERACION'!$C$11</f>
        <v>22937495.093333334</v>
      </c>
      <c r="E7" s="61">
        <f>'Nomina-Operarios'!G51+'Nomina-Administradores'!G51+'GASTOS DE OPERACION'!$C$11</f>
        <v>22937495.093333334</v>
      </c>
      <c r="F7" s="61">
        <f>'Nomina-Operarios'!H51+'Nomina-Administradores'!H51+'GASTOS DE OPERACION'!$C$11</f>
        <v>22937495.093333334</v>
      </c>
      <c r="G7" s="61">
        <f>'Nomina-Operarios'!I51+'Nomina-Administradores'!I51+'GASTOS DE OPERACION'!$C$11</f>
        <v>22937495.093333334</v>
      </c>
      <c r="H7" s="61">
        <f>'Nomina-Operarios'!J51+'Nomina-Administradores'!J51+'GASTOS DE OPERACION'!$C$11</f>
        <v>22937495.093333334</v>
      </c>
      <c r="I7" s="61">
        <f>'Nomina-Operarios'!K51+'Nomina-Administradores'!K51+'GASTOS DE OPERACION'!$C$11</f>
        <v>22937495.093333334</v>
      </c>
      <c r="J7" s="61">
        <f>'Nomina-Operarios'!L51+'Nomina-Administradores'!L51+'GASTOS DE OPERACION'!$C$11</f>
        <v>22937495.093333334</v>
      </c>
      <c r="K7" s="61">
        <f>'Nomina-Operarios'!M51+'Nomina-Administradores'!M51+'GASTOS DE OPERACION'!$C$11</f>
        <v>22937495.093333334</v>
      </c>
      <c r="L7" s="61">
        <f>'Nomina-Operarios'!N51+'Nomina-Administradores'!N51+'GASTOS DE OPERACION'!$C$11</f>
        <v>22937495.093333334</v>
      </c>
      <c r="M7" s="61">
        <f>'Nomina-Operarios'!O51+'Nomina-Administradores'!O51+'GASTOS DE OPERACION'!$C$11</f>
        <v>22937495.093333334</v>
      </c>
      <c r="N7" s="80">
        <f>'Nomina-Operarios'!P51+'Nomina-Administradores'!P51+'GASTOS DE OPERACION'!$C$11</f>
        <v>22937495.093333334</v>
      </c>
    </row>
    <row r="8" spans="2:14" x14ac:dyDescent="0.25">
      <c r="B8" s="116" t="s">
        <v>107</v>
      </c>
      <c r="C8" s="78">
        <f>C6-C7</f>
        <v>12849339.906666666</v>
      </c>
      <c r="D8" s="78">
        <f t="shared" ref="D8:N8" si="1">D6-D7</f>
        <v>13196854.906666666</v>
      </c>
      <c r="E8" s="78">
        <f t="shared" si="1"/>
        <v>10564154.906666666</v>
      </c>
      <c r="F8" s="78">
        <f t="shared" si="1"/>
        <v>13030254.906666666</v>
      </c>
      <c r="G8" s="78">
        <f t="shared" si="1"/>
        <v>10888604.906666666</v>
      </c>
      <c r="H8" s="78">
        <f t="shared" si="1"/>
        <v>10898054.906666666</v>
      </c>
      <c r="I8" s="78">
        <f t="shared" si="1"/>
        <v>11463129.906666666</v>
      </c>
      <c r="J8" s="78">
        <f t="shared" si="1"/>
        <v>11320154.906666666</v>
      </c>
      <c r="K8" s="78">
        <f t="shared" si="1"/>
        <v>10998154.906666666</v>
      </c>
      <c r="L8" s="78">
        <f t="shared" si="1"/>
        <v>11311054.906666666</v>
      </c>
      <c r="M8" s="78">
        <f t="shared" si="1"/>
        <v>11503204.906666666</v>
      </c>
      <c r="N8" s="81">
        <f t="shared" si="1"/>
        <v>11661404.906666666</v>
      </c>
    </row>
    <row r="9" spans="2:14" x14ac:dyDescent="0.25">
      <c r="B9" s="114" t="s">
        <v>108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80"/>
    </row>
    <row r="10" spans="2:14" x14ac:dyDescent="0.25">
      <c r="B10" s="116" t="s">
        <v>109</v>
      </c>
      <c r="C10" s="78">
        <f>C8-C9</f>
        <v>12849339.906666666</v>
      </c>
      <c r="D10" s="78">
        <f t="shared" ref="D10:N10" si="2">D8-D9</f>
        <v>13196854.906666666</v>
      </c>
      <c r="E10" s="78">
        <f t="shared" si="2"/>
        <v>10564154.906666666</v>
      </c>
      <c r="F10" s="78">
        <f t="shared" si="2"/>
        <v>13030254.906666666</v>
      </c>
      <c r="G10" s="78">
        <f t="shared" si="2"/>
        <v>10888604.906666666</v>
      </c>
      <c r="H10" s="78">
        <f t="shared" si="2"/>
        <v>10898054.906666666</v>
      </c>
      <c r="I10" s="78">
        <f t="shared" si="2"/>
        <v>11463129.906666666</v>
      </c>
      <c r="J10" s="78">
        <f t="shared" si="2"/>
        <v>11320154.906666666</v>
      </c>
      <c r="K10" s="78">
        <f t="shared" si="2"/>
        <v>10998154.906666666</v>
      </c>
      <c r="L10" s="78">
        <f t="shared" si="2"/>
        <v>11311054.906666666</v>
      </c>
      <c r="M10" s="78">
        <f t="shared" si="2"/>
        <v>11503204.906666666</v>
      </c>
      <c r="N10" s="81">
        <f t="shared" si="2"/>
        <v>11661404.906666666</v>
      </c>
    </row>
    <row r="11" spans="2:14" x14ac:dyDescent="0.25">
      <c r="B11" s="114" t="s">
        <v>110</v>
      </c>
      <c r="C11" s="61">
        <f>C10*0.33</f>
        <v>4240282.1692000004</v>
      </c>
      <c r="D11" s="61">
        <f>D10*0.33</f>
        <v>4354962.1192000005</v>
      </c>
      <c r="E11" s="61">
        <f>E10*0.33</f>
        <v>3486171.1192000001</v>
      </c>
      <c r="F11" s="61">
        <f t="shared" ref="F11:N11" si="3">F10*0.33</f>
        <v>4299984.1191999996</v>
      </c>
      <c r="G11" s="61">
        <f t="shared" si="3"/>
        <v>3593239.6192000001</v>
      </c>
      <c r="H11" s="61">
        <f t="shared" si="3"/>
        <v>3596358.1192000001</v>
      </c>
      <c r="I11" s="61">
        <f t="shared" si="3"/>
        <v>3782832.8692000001</v>
      </c>
      <c r="J11" s="61">
        <f t="shared" si="3"/>
        <v>3735651.1192000001</v>
      </c>
      <c r="K11" s="61">
        <f t="shared" si="3"/>
        <v>3629391.1192000001</v>
      </c>
      <c r="L11" s="61">
        <f t="shared" si="3"/>
        <v>3732648.1192000001</v>
      </c>
      <c r="M11" s="61">
        <f t="shared" si="3"/>
        <v>3796057.6192000001</v>
      </c>
      <c r="N11" s="80">
        <f t="shared" si="3"/>
        <v>3848263.6192000001</v>
      </c>
    </row>
    <row r="12" spans="2:14" ht="15.75" thickBot="1" x14ac:dyDescent="0.3">
      <c r="B12" s="117" t="s">
        <v>111</v>
      </c>
      <c r="C12" s="82">
        <f>C10-C11</f>
        <v>8609057.7374666668</v>
      </c>
      <c r="D12" s="82">
        <f t="shared" ref="D12:N12" si="4">D10-D11</f>
        <v>8841892.7874666657</v>
      </c>
      <c r="E12" s="82">
        <f t="shared" si="4"/>
        <v>7077983.7874666657</v>
      </c>
      <c r="F12" s="82">
        <f t="shared" si="4"/>
        <v>8730270.7874666676</v>
      </c>
      <c r="G12" s="82">
        <f t="shared" si="4"/>
        <v>7295365.2874666657</v>
      </c>
      <c r="H12" s="82">
        <f t="shared" si="4"/>
        <v>7301696.7874666657</v>
      </c>
      <c r="I12" s="82">
        <f t="shared" si="4"/>
        <v>7680297.0374666657</v>
      </c>
      <c r="J12" s="82">
        <f t="shared" si="4"/>
        <v>7584503.7874666657</v>
      </c>
      <c r="K12" s="82">
        <f t="shared" si="4"/>
        <v>7368763.7874666657</v>
      </c>
      <c r="L12" s="82">
        <f t="shared" si="4"/>
        <v>7578406.7874666657</v>
      </c>
      <c r="M12" s="82">
        <f t="shared" si="4"/>
        <v>7707147.2874666657</v>
      </c>
      <c r="N12" s="83">
        <f t="shared" si="4"/>
        <v>7813141.2874666657</v>
      </c>
    </row>
    <row r="13" spans="2:14" x14ac:dyDescent="0.25">
      <c r="B13" s="74"/>
    </row>
    <row r="16" spans="2:14" ht="15.75" thickBot="1" x14ac:dyDescent="0.3"/>
    <row r="17" spans="2:14" ht="36.75" thickBot="1" x14ac:dyDescent="0.3">
      <c r="B17" s="257" t="s">
        <v>117</v>
      </c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9"/>
    </row>
    <row r="18" spans="2:14" x14ac:dyDescent="0.25">
      <c r="B18" s="115" t="s">
        <v>102</v>
      </c>
      <c r="C18" s="112" t="s">
        <v>10</v>
      </c>
      <c r="D18" s="112" t="s">
        <v>11</v>
      </c>
      <c r="E18" s="112" t="s">
        <v>12</v>
      </c>
      <c r="F18" s="112" t="s">
        <v>13</v>
      </c>
      <c r="G18" s="112" t="s">
        <v>14</v>
      </c>
      <c r="H18" s="112" t="s">
        <v>15</v>
      </c>
      <c r="I18" s="112" t="s">
        <v>16</v>
      </c>
      <c r="J18" s="112" t="s">
        <v>17</v>
      </c>
      <c r="K18" s="112" t="s">
        <v>18</v>
      </c>
      <c r="L18" s="112" t="s">
        <v>19</v>
      </c>
      <c r="M18" s="112" t="s">
        <v>20</v>
      </c>
      <c r="N18" s="113" t="s">
        <v>21</v>
      </c>
    </row>
    <row r="19" spans="2:14" x14ac:dyDescent="0.25">
      <c r="B19" s="114" t="s">
        <v>103</v>
      </c>
      <c r="C19" s="61">
        <f t="shared" ref="C19:C27" si="5">C4</f>
        <v>69014295</v>
      </c>
      <c r="D19" s="61">
        <f>C19+D4</f>
        <v>138677245</v>
      </c>
      <c r="E19" s="61">
        <f t="shared" ref="E19:N19" si="6">D19+E4</f>
        <v>203932295</v>
      </c>
      <c r="F19" s="61">
        <f t="shared" si="6"/>
        <v>273251545</v>
      </c>
      <c r="G19" s="61">
        <f t="shared" si="6"/>
        <v>339066245</v>
      </c>
      <c r="H19" s="61">
        <f t="shared" si="6"/>
        <v>404943595</v>
      </c>
      <c r="I19" s="61">
        <f t="shared" si="6"/>
        <v>471797970</v>
      </c>
      <c r="J19" s="61">
        <f t="shared" si="6"/>
        <v>538302520</v>
      </c>
      <c r="K19" s="61">
        <f t="shared" si="6"/>
        <v>604327570</v>
      </c>
      <c r="L19" s="61">
        <f t="shared" si="6"/>
        <v>670908420</v>
      </c>
      <c r="M19" s="61">
        <f t="shared" si="6"/>
        <v>737724820</v>
      </c>
      <c r="N19" s="80">
        <f t="shared" si="6"/>
        <v>804861120</v>
      </c>
    </row>
    <row r="20" spans="2:14" ht="36.75" customHeight="1" x14ac:dyDescent="0.25">
      <c r="B20" s="114" t="s">
        <v>104</v>
      </c>
      <c r="C20" s="61">
        <f t="shared" si="5"/>
        <v>33227460</v>
      </c>
      <c r="D20" s="61">
        <f>C20+D5</f>
        <v>66756060</v>
      </c>
      <c r="E20" s="61">
        <f t="shared" ref="D20:N27" si="7">D20+E5</f>
        <v>98509460</v>
      </c>
      <c r="F20" s="61">
        <f t="shared" si="7"/>
        <v>131860960</v>
      </c>
      <c r="G20" s="61">
        <f t="shared" si="7"/>
        <v>163849560</v>
      </c>
      <c r="H20" s="61">
        <f t="shared" si="7"/>
        <v>195891360</v>
      </c>
      <c r="I20" s="61">
        <f t="shared" si="7"/>
        <v>228345110</v>
      </c>
      <c r="J20" s="61">
        <f t="shared" si="7"/>
        <v>260592010</v>
      </c>
      <c r="K20" s="61">
        <f t="shared" si="7"/>
        <v>292681410</v>
      </c>
      <c r="L20" s="61">
        <f t="shared" si="7"/>
        <v>325013710</v>
      </c>
      <c r="M20" s="61">
        <f t="shared" si="7"/>
        <v>357389410</v>
      </c>
      <c r="N20" s="80">
        <f t="shared" si="7"/>
        <v>389926810</v>
      </c>
    </row>
    <row r="21" spans="2:14" x14ac:dyDescent="0.25">
      <c r="B21" s="116" t="s">
        <v>105</v>
      </c>
      <c r="C21" s="78">
        <f t="shared" si="5"/>
        <v>35786835</v>
      </c>
      <c r="D21" s="78">
        <f t="shared" si="7"/>
        <v>71921185</v>
      </c>
      <c r="E21" s="78">
        <f t="shared" si="7"/>
        <v>105422835</v>
      </c>
      <c r="F21" s="78">
        <f t="shared" si="7"/>
        <v>141390585</v>
      </c>
      <c r="G21" s="78">
        <f t="shared" si="7"/>
        <v>175216685</v>
      </c>
      <c r="H21" s="78">
        <f t="shared" si="7"/>
        <v>209052235</v>
      </c>
      <c r="I21" s="78">
        <f t="shared" si="7"/>
        <v>243452860</v>
      </c>
      <c r="J21" s="78">
        <f t="shared" si="7"/>
        <v>277710510</v>
      </c>
      <c r="K21" s="78">
        <f t="shared" si="7"/>
        <v>311646160</v>
      </c>
      <c r="L21" s="78">
        <f t="shared" si="7"/>
        <v>345894710</v>
      </c>
      <c r="M21" s="78">
        <f t="shared" si="7"/>
        <v>380335410</v>
      </c>
      <c r="N21" s="81">
        <f t="shared" si="7"/>
        <v>414934310</v>
      </c>
    </row>
    <row r="22" spans="2:14" x14ac:dyDescent="0.25">
      <c r="B22" s="114" t="s">
        <v>106</v>
      </c>
      <c r="C22" s="61">
        <f t="shared" si="5"/>
        <v>22937495.093333334</v>
      </c>
      <c r="D22" s="61">
        <f t="shared" si="7"/>
        <v>45874990.186666667</v>
      </c>
      <c r="E22" s="61">
        <f t="shared" si="7"/>
        <v>68812485.280000001</v>
      </c>
      <c r="F22" s="61">
        <f t="shared" si="7"/>
        <v>91749980.373333335</v>
      </c>
      <c r="G22" s="61">
        <f t="shared" si="7"/>
        <v>114687475.46666667</v>
      </c>
      <c r="H22" s="61">
        <f t="shared" si="7"/>
        <v>137624970.56</v>
      </c>
      <c r="I22" s="61">
        <f t="shared" si="7"/>
        <v>160562465.65333334</v>
      </c>
      <c r="J22" s="61">
        <f t="shared" si="7"/>
        <v>183499960.74666667</v>
      </c>
      <c r="K22" s="61">
        <f t="shared" si="7"/>
        <v>206437455.84</v>
      </c>
      <c r="L22" s="61">
        <f t="shared" si="7"/>
        <v>229374950.93333334</v>
      </c>
      <c r="M22" s="61">
        <f t="shared" si="7"/>
        <v>252312446.02666667</v>
      </c>
      <c r="N22" s="80">
        <f t="shared" si="7"/>
        <v>275249941.12</v>
      </c>
    </row>
    <row r="23" spans="2:14" x14ac:dyDescent="0.25">
      <c r="B23" s="116" t="s">
        <v>107</v>
      </c>
      <c r="C23" s="78">
        <f t="shared" si="5"/>
        <v>12849339.906666666</v>
      </c>
      <c r="D23" s="78">
        <f t="shared" si="7"/>
        <v>26046194.813333333</v>
      </c>
      <c r="E23" s="78">
        <f t="shared" si="7"/>
        <v>36610349.719999999</v>
      </c>
      <c r="F23" s="78">
        <f t="shared" si="7"/>
        <v>49640604.626666665</v>
      </c>
      <c r="G23" s="78">
        <f t="shared" si="7"/>
        <v>60529209.533333331</v>
      </c>
      <c r="H23" s="78">
        <f t="shared" si="7"/>
        <v>71427264.439999998</v>
      </c>
      <c r="I23" s="78">
        <f t="shared" si="7"/>
        <v>82890394.346666664</v>
      </c>
      <c r="J23" s="78">
        <f t="shared" si="7"/>
        <v>94210549.25333333</v>
      </c>
      <c r="K23" s="78">
        <f t="shared" si="7"/>
        <v>105208704.16</v>
      </c>
      <c r="L23" s="78">
        <f t="shared" si="7"/>
        <v>116519759.06666666</v>
      </c>
      <c r="M23" s="78">
        <f t="shared" si="7"/>
        <v>128022963.97333333</v>
      </c>
      <c r="N23" s="81">
        <f t="shared" si="7"/>
        <v>139684368.88</v>
      </c>
    </row>
    <row r="24" spans="2:14" x14ac:dyDescent="0.25">
      <c r="B24" s="114" t="s">
        <v>108</v>
      </c>
      <c r="C24" s="61">
        <f t="shared" si="5"/>
        <v>0</v>
      </c>
      <c r="D24" s="61">
        <f t="shared" si="7"/>
        <v>0</v>
      </c>
      <c r="E24" s="61">
        <f t="shared" si="7"/>
        <v>0</v>
      </c>
      <c r="F24" s="61">
        <f t="shared" si="7"/>
        <v>0</v>
      </c>
      <c r="G24" s="61">
        <f t="shared" si="7"/>
        <v>0</v>
      </c>
      <c r="H24" s="61">
        <f t="shared" si="7"/>
        <v>0</v>
      </c>
      <c r="I24" s="61">
        <f t="shared" si="7"/>
        <v>0</v>
      </c>
      <c r="J24" s="61">
        <f t="shared" si="7"/>
        <v>0</v>
      </c>
      <c r="K24" s="61">
        <f t="shared" si="7"/>
        <v>0</v>
      </c>
      <c r="L24" s="61">
        <f t="shared" si="7"/>
        <v>0</v>
      </c>
      <c r="M24" s="61">
        <f t="shared" si="7"/>
        <v>0</v>
      </c>
      <c r="N24" s="80">
        <f t="shared" si="7"/>
        <v>0</v>
      </c>
    </row>
    <row r="25" spans="2:14" x14ac:dyDescent="0.25">
      <c r="B25" s="116" t="s">
        <v>109</v>
      </c>
      <c r="C25" s="78">
        <f t="shared" si="5"/>
        <v>12849339.906666666</v>
      </c>
      <c r="D25" s="78">
        <f t="shared" si="7"/>
        <v>26046194.813333333</v>
      </c>
      <c r="E25" s="78">
        <f t="shared" si="7"/>
        <v>36610349.719999999</v>
      </c>
      <c r="F25" s="78">
        <f t="shared" si="7"/>
        <v>49640604.626666665</v>
      </c>
      <c r="G25" s="78">
        <f t="shared" si="7"/>
        <v>60529209.533333331</v>
      </c>
      <c r="H25" s="78">
        <f t="shared" si="7"/>
        <v>71427264.439999998</v>
      </c>
      <c r="I25" s="78">
        <f t="shared" si="7"/>
        <v>82890394.346666664</v>
      </c>
      <c r="J25" s="78">
        <f t="shared" si="7"/>
        <v>94210549.25333333</v>
      </c>
      <c r="K25" s="78">
        <f t="shared" si="7"/>
        <v>105208704.16</v>
      </c>
      <c r="L25" s="78">
        <f t="shared" si="7"/>
        <v>116519759.06666666</v>
      </c>
      <c r="M25" s="78">
        <f t="shared" si="7"/>
        <v>128022963.97333333</v>
      </c>
      <c r="N25" s="81">
        <f t="shared" si="7"/>
        <v>139684368.88</v>
      </c>
    </row>
    <row r="26" spans="2:14" x14ac:dyDescent="0.25">
      <c r="B26" s="114" t="s">
        <v>110</v>
      </c>
      <c r="C26" s="61">
        <f t="shared" si="5"/>
        <v>4240282.1692000004</v>
      </c>
      <c r="D26" s="61">
        <f t="shared" si="7"/>
        <v>8595244.2884000018</v>
      </c>
      <c r="E26" s="61">
        <f t="shared" si="7"/>
        <v>12081415.407600002</v>
      </c>
      <c r="F26" s="61">
        <f t="shared" si="7"/>
        <v>16381399.526800003</v>
      </c>
      <c r="G26" s="61">
        <f t="shared" si="7"/>
        <v>19974639.146000002</v>
      </c>
      <c r="H26" s="61">
        <f t="shared" si="7"/>
        <v>23570997.2652</v>
      </c>
      <c r="I26" s="61">
        <f t="shared" si="7"/>
        <v>27353830.134399999</v>
      </c>
      <c r="J26" s="61">
        <f t="shared" si="7"/>
        <v>31089481.253599998</v>
      </c>
      <c r="K26" s="61">
        <f t="shared" si="7"/>
        <v>34718872.3728</v>
      </c>
      <c r="L26" s="61">
        <f t="shared" si="7"/>
        <v>38451520.491999999</v>
      </c>
      <c r="M26" s="61">
        <f t="shared" si="7"/>
        <v>42247578.111199997</v>
      </c>
      <c r="N26" s="80">
        <f t="shared" si="7"/>
        <v>46095841.730399996</v>
      </c>
    </row>
    <row r="27" spans="2:14" ht="15.75" thickBot="1" x14ac:dyDescent="0.3">
      <c r="B27" s="117" t="s">
        <v>111</v>
      </c>
      <c r="C27" s="82">
        <f t="shared" si="5"/>
        <v>8609057.7374666668</v>
      </c>
      <c r="D27" s="82">
        <f>C27+D12</f>
        <v>17450950.524933331</v>
      </c>
      <c r="E27" s="82">
        <f t="shared" si="7"/>
        <v>24528934.312399998</v>
      </c>
      <c r="F27" s="82">
        <f t="shared" si="7"/>
        <v>33259205.099866666</v>
      </c>
      <c r="G27" s="82">
        <f t="shared" si="7"/>
        <v>40554570.387333333</v>
      </c>
      <c r="H27" s="82">
        <f t="shared" si="7"/>
        <v>47856267.174800001</v>
      </c>
      <c r="I27" s="82">
        <f t="shared" si="7"/>
        <v>55536564.212266669</v>
      </c>
      <c r="J27" s="82">
        <f t="shared" si="7"/>
        <v>63121067.999733336</v>
      </c>
      <c r="K27" s="82">
        <f t="shared" si="7"/>
        <v>70489831.787200004</v>
      </c>
      <c r="L27" s="82">
        <f t="shared" si="7"/>
        <v>78068238.574666664</v>
      </c>
      <c r="M27" s="82">
        <f t="shared" si="7"/>
        <v>85775385.862133324</v>
      </c>
      <c r="N27" s="83">
        <f t="shared" si="7"/>
        <v>93588527.149599984</v>
      </c>
    </row>
    <row r="31" spans="2:14" ht="15.75" thickBot="1" x14ac:dyDescent="0.3"/>
    <row r="32" spans="2:14" ht="36.75" thickBot="1" x14ac:dyDescent="0.3">
      <c r="B32" s="260" t="s">
        <v>123</v>
      </c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2"/>
    </row>
    <row r="33" spans="2:14" x14ac:dyDescent="0.25">
      <c r="B33" s="115" t="s">
        <v>102</v>
      </c>
      <c r="C33" s="112" t="s">
        <v>10</v>
      </c>
      <c r="D33" s="112" t="s">
        <v>11</v>
      </c>
      <c r="E33" s="112" t="s">
        <v>12</v>
      </c>
      <c r="F33" s="112" t="s">
        <v>13</v>
      </c>
      <c r="G33" s="112" t="s">
        <v>14</v>
      </c>
      <c r="H33" s="112" t="s">
        <v>15</v>
      </c>
      <c r="I33" s="112" t="s">
        <v>16</v>
      </c>
      <c r="J33" s="112" t="s">
        <v>17</v>
      </c>
      <c r="K33" s="112" t="s">
        <v>18</v>
      </c>
      <c r="L33" s="112" t="s">
        <v>19</v>
      </c>
      <c r="M33" s="112" t="s">
        <v>20</v>
      </c>
      <c r="N33" s="113" t="s">
        <v>21</v>
      </c>
    </row>
    <row r="34" spans="2:14" x14ac:dyDescent="0.25">
      <c r="B34" s="114" t="s">
        <v>124</v>
      </c>
      <c r="C34" s="61">
        <f>VLOOKUP(C33,'CONSOLIDADO DE COMPRAS Y VENTAS'!$A$8:$G$19,5,FALSE)</f>
        <v>69807959.392499998</v>
      </c>
      <c r="D34" s="61">
        <f>VLOOKUP(D33,'CONSOLIDADO DE COMPRAS Y VENTAS'!$A$8:$G$19,5,FALSE)</f>
        <v>70464073.924999997</v>
      </c>
      <c r="E34" s="61">
        <f>VLOOKUP(E33,'CONSOLIDADO DE COMPRAS Y VENTAS'!$A$8:$G$19,5,FALSE)</f>
        <v>66005483.074999996</v>
      </c>
      <c r="F34" s="61">
        <f>VLOOKUP(F33,'CONSOLIDADO DE COMPRAS Y VENTAS'!$A$8:$G$19,5,FALSE)</f>
        <v>70116421.375</v>
      </c>
      <c r="G34" s="61">
        <f>VLOOKUP(G33,'CONSOLIDADO DE COMPRAS Y VENTAS'!$A$8:$G$19,5,FALSE)</f>
        <v>66571569.049999997</v>
      </c>
      <c r="H34" s="61">
        <f>VLOOKUP(H33,'CONSOLIDADO DE COMPRAS Y VENTAS'!$A$8:$G$19,5,FALSE)</f>
        <v>66634939.524999999</v>
      </c>
      <c r="I34" s="61">
        <f>VLOOKUP(I33,'CONSOLIDADO DE COMPRAS Y VENTAS'!$A$8:$G$19,5,FALSE)</f>
        <v>67623200.3125</v>
      </c>
      <c r="J34" s="61">
        <f>VLOOKUP(J33,'CONSOLIDADO DE COMPRAS Y VENTAS'!$A$8:$G$19,5,FALSE)</f>
        <v>67269352.324999988</v>
      </c>
      <c r="K34" s="61">
        <f>VLOOKUP(K33,'CONSOLIDADO DE COMPRAS Y VENTAS'!$A$8:$G$19,5,FALSE)</f>
        <v>66784338.074999996</v>
      </c>
      <c r="L34" s="61">
        <f>VLOOKUP(L33,'CONSOLIDADO DE COMPRAS Y VENTAS'!$A$8:$G$19,5,FALSE)</f>
        <v>67346529.775000006</v>
      </c>
      <c r="M34" s="61">
        <f>VLOOKUP(M33,'CONSOLIDADO DE COMPRAS Y VENTAS'!$A$8:$G$19,5,FALSE)</f>
        <v>67584788.599999994</v>
      </c>
      <c r="N34" s="80">
        <f>VLOOKUP(N33,'CONSOLIDADO DE COMPRAS Y VENTAS'!$A$8:$G$19,5,FALSE)</f>
        <v>67908367.449999988</v>
      </c>
    </row>
    <row r="35" spans="2:14" x14ac:dyDescent="0.25">
      <c r="B35" s="114" t="s">
        <v>125</v>
      </c>
      <c r="C35" s="61">
        <f>VLOOKUP(C33,'CONSOLIDADO DE COMPRAS Y VENTAS'!$A$8:$G$19,7,FALSE)</f>
        <v>0</v>
      </c>
      <c r="D35" s="61">
        <f>VLOOKUP(D33,'CONSOLIDADO DE COMPRAS Y VENTAS'!$A$8:$G$19,7,FALSE)</f>
        <v>12319051.657499999</v>
      </c>
      <c r="E35" s="61">
        <f>VLOOKUP(E33,'CONSOLIDADO DE COMPRAS Y VENTAS'!$A$8:$G$19,7,FALSE)</f>
        <v>12434836.575000003</v>
      </c>
      <c r="F35" s="61">
        <f>VLOOKUP(F33,'CONSOLIDADO DE COMPRAS Y VENTAS'!$A$8:$G$19,7,FALSE)</f>
        <v>11648026.425000004</v>
      </c>
      <c r="G35" s="61">
        <f>VLOOKUP(G33,'CONSOLIDADO DE COMPRAS Y VENTAS'!$A$8:$G$19,7,FALSE)</f>
        <v>12373486.125</v>
      </c>
      <c r="H35" s="61">
        <f>VLOOKUP(H33,'CONSOLIDADO DE COMPRAS Y VENTAS'!$A$8:$G$19,7,FALSE)</f>
        <v>11747923.950000003</v>
      </c>
      <c r="I35" s="61">
        <f>VLOOKUP(I33,'CONSOLIDADO DE COMPRAS Y VENTAS'!$A$8:$G$19,7,FALSE)</f>
        <v>11759106.975000001</v>
      </c>
      <c r="J35" s="61">
        <f>VLOOKUP(J33,'CONSOLIDADO DE COMPRAS Y VENTAS'!$A$8:$G$19,7,FALSE)</f>
        <v>11933505.9375</v>
      </c>
      <c r="K35" s="61">
        <f>VLOOKUP(K33,'CONSOLIDADO DE COMPRAS Y VENTAS'!$A$8:$G$19,7,FALSE)</f>
        <v>11871062.175000004</v>
      </c>
      <c r="L35" s="61">
        <f>VLOOKUP(L33,'CONSOLIDADO DE COMPRAS Y VENTAS'!$A$8:$G$19,7,FALSE)</f>
        <v>11785471.425000004</v>
      </c>
      <c r="M35" s="61">
        <f>VLOOKUP(M33,'CONSOLIDADO DE COMPRAS Y VENTAS'!$A$8:$G$19,7,FALSE)</f>
        <v>11884681.725000001</v>
      </c>
      <c r="N35" s="80">
        <f>VLOOKUP(N33,'CONSOLIDADO DE COMPRAS Y VENTAS'!$A$8:$G$19,7,FALSE)</f>
        <v>11926727.399999999</v>
      </c>
    </row>
    <row r="36" spans="2:14" x14ac:dyDescent="0.25">
      <c r="B36" s="114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80"/>
    </row>
    <row r="37" spans="2:14" x14ac:dyDescent="0.25">
      <c r="B37" s="116" t="s">
        <v>95</v>
      </c>
      <c r="C37" s="78">
        <f>SUM(C34:C36)</f>
        <v>69807959.392499998</v>
      </c>
      <c r="D37" s="78">
        <f>SUM(D34:D36)</f>
        <v>82783125.582499996</v>
      </c>
      <c r="E37" s="78">
        <f t="shared" ref="E37:N37" si="8">SUM(E34:E36)</f>
        <v>78440319.650000006</v>
      </c>
      <c r="F37" s="78">
        <f t="shared" si="8"/>
        <v>81764447.800000012</v>
      </c>
      <c r="G37" s="78">
        <f t="shared" si="8"/>
        <v>78945055.174999997</v>
      </c>
      <c r="H37" s="78">
        <f t="shared" si="8"/>
        <v>78382863.474999994</v>
      </c>
      <c r="I37" s="78">
        <f t="shared" si="8"/>
        <v>79382307.287499994</v>
      </c>
      <c r="J37" s="78">
        <f t="shared" si="8"/>
        <v>79202858.262499988</v>
      </c>
      <c r="K37" s="78">
        <f t="shared" si="8"/>
        <v>78655400.25</v>
      </c>
      <c r="L37" s="78">
        <f t="shared" si="8"/>
        <v>79132001.200000018</v>
      </c>
      <c r="M37" s="78">
        <f t="shared" si="8"/>
        <v>79469470.324999988</v>
      </c>
      <c r="N37" s="81">
        <f t="shared" si="8"/>
        <v>79835094.849999994</v>
      </c>
    </row>
    <row r="38" spans="2:14" x14ac:dyDescent="0.25">
      <c r="B38" s="114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80"/>
    </row>
    <row r="39" spans="2:14" x14ac:dyDescent="0.25">
      <c r="B39" s="114" t="s">
        <v>126</v>
      </c>
      <c r="C39" s="61">
        <f>VLOOKUP(C33,'CONSOLIDADO DE COMPRAS Y VENTAS'!$J$8:$Q$19,6,FALSE)</f>
        <v>38415877.5</v>
      </c>
      <c r="D39" s="61">
        <f>VLOOKUP(D33,'CONSOLIDADO DE COMPRAS Y VENTAS'!$J$8:$Q$19,6,FALSE)</f>
        <v>38755447.5</v>
      </c>
      <c r="E39" s="61">
        <f>VLOOKUP(E33,'CONSOLIDADO DE COMPRAS Y VENTAS'!$J$8:$Q$19,6,FALSE)</f>
        <v>36661432.5</v>
      </c>
      <c r="F39" s="61">
        <f>VLOOKUP(F33,'CONSOLIDADO DE COMPRAS Y VENTAS'!$J$8:$Q$19,6,FALSE)</f>
        <v>38499153</v>
      </c>
      <c r="G39" s="61">
        <f>VLOOKUP(G33,'CONSOLIDADO DE COMPRAS Y VENTAS'!$J$8:$Q$19,6,FALSE)</f>
        <v>36980790</v>
      </c>
      <c r="H39" s="61">
        <f>VLOOKUP(H33,'CONSOLIDADO DE COMPRAS Y VENTAS'!$J$8:$Q$19,6,FALSE)</f>
        <v>37130362.5</v>
      </c>
      <c r="I39" s="61">
        <f>VLOOKUP(I33,'CONSOLIDADO DE COMPRAS Y VENTAS'!$J$8:$Q$19,6,FALSE)</f>
        <v>37389891</v>
      </c>
      <c r="J39" s="61">
        <f>VLOOKUP(J33,'CONSOLIDADO DE COMPRAS Y VENTAS'!$J$8:$Q$19,6,FALSE)</f>
        <v>37227382.5</v>
      </c>
      <c r="K39" s="61">
        <f>VLOOKUP(K33,'CONSOLIDADO DE COMPRAS Y VENTAS'!$J$8:$Q$19,6,FALSE)</f>
        <v>37044661.5</v>
      </c>
      <c r="L39" s="61">
        <f>VLOOKUP(L33,'CONSOLIDADO DE COMPRAS Y VENTAS'!$J$8:$Q$19,6,FALSE)</f>
        <v>37320360</v>
      </c>
      <c r="M39" s="61">
        <f>VLOOKUP(M33,'CONSOLIDADO DE COMPRAS Y VENTAS'!$J$8:$Q$19,6,FALSE)</f>
        <v>37395550.5</v>
      </c>
      <c r="N39" s="80">
        <f>VLOOKUP(N33,'CONSOLIDADO DE COMPRAS Y VENTAS'!$J$8:$Q$19,6,FALSE)</f>
        <v>37546740</v>
      </c>
    </row>
    <row r="40" spans="2:14" x14ac:dyDescent="0.25">
      <c r="B40" s="114" t="s">
        <v>127</v>
      </c>
      <c r="C40" s="61">
        <f>'GASTOS DE OPERACION'!B21</f>
        <v>20726967.600000001</v>
      </c>
      <c r="D40" s="61">
        <f>'GASTOS DE OPERACION'!C21</f>
        <v>20726967.600000001</v>
      </c>
      <c r="E40" s="61">
        <f>'GASTOS DE OPERACION'!D21</f>
        <v>20726967.600000001</v>
      </c>
      <c r="F40" s="61">
        <f>'GASTOS DE OPERACION'!E21</f>
        <v>20726967.600000001</v>
      </c>
      <c r="G40" s="61">
        <f>'GASTOS DE OPERACION'!F21</f>
        <v>20726967.600000001</v>
      </c>
      <c r="H40" s="61">
        <f>'GASTOS DE OPERACION'!G21</f>
        <v>25829875.600000001</v>
      </c>
      <c r="I40" s="61">
        <f>'GASTOS DE OPERACION'!H21</f>
        <v>20726967.600000001</v>
      </c>
      <c r="J40" s="61">
        <f>'GASTOS DE OPERACION'!I21</f>
        <v>20726967.600000001</v>
      </c>
      <c r="K40" s="61">
        <f>'GASTOS DE OPERACION'!J21</f>
        <v>20726967.600000001</v>
      </c>
      <c r="L40" s="61">
        <f>'GASTOS DE OPERACION'!K21</f>
        <v>20726967.600000001</v>
      </c>
      <c r="M40" s="61">
        <f>'GASTOS DE OPERACION'!L21</f>
        <v>20726967.600000001</v>
      </c>
      <c r="N40" s="80">
        <f>'GASTOS DE OPERACION'!M21</f>
        <v>42150389.519999996</v>
      </c>
    </row>
    <row r="41" spans="2:14" x14ac:dyDescent="0.25">
      <c r="B41" s="114" t="s">
        <v>128</v>
      </c>
      <c r="C41" s="61">
        <f>VLOOKUP(C33,'CONSOLIDADO IMPUESTOS'!$F$6:$H$17,3,FALSE)</f>
        <v>0</v>
      </c>
      <c r="D41" s="61">
        <f>VLOOKUP(D33,'CONSOLIDADO IMPUESTOS'!$F$6:$H$17,3,FALSE)</f>
        <v>1164117.5</v>
      </c>
      <c r="E41" s="61">
        <f>VLOOKUP(E33,'CONSOLIDADO IMPUESTOS'!$F$6:$H$17,3,FALSE)</f>
        <v>1174407.5</v>
      </c>
      <c r="F41" s="61">
        <f>VLOOKUP(F33,'CONSOLIDADO IMPUESTOS'!$F$6:$H$17,3,FALSE)</f>
        <v>1110952.5</v>
      </c>
      <c r="G41" s="61">
        <f>VLOOKUP(G33,'CONSOLIDADO IMPUESTOS'!$F$6:$H$17,3,FALSE)</f>
        <v>1166641</v>
      </c>
      <c r="H41" s="61">
        <f>VLOOKUP(H33,'CONSOLIDADO IMPUESTOS'!$F$6:$H$17,3,FALSE)</f>
        <v>1120630</v>
      </c>
      <c r="I41" s="61">
        <f>VLOOKUP(I33,'CONSOLIDADO IMPUESTOS'!$F$6:$H$17,3,FALSE)</f>
        <v>1125162.5</v>
      </c>
      <c r="J41" s="61">
        <f>VLOOKUP(J33,'CONSOLIDADO IMPUESTOS'!$F$6:$H$17,3,FALSE)</f>
        <v>1133027</v>
      </c>
      <c r="K41" s="61">
        <f>VLOOKUP(K33,'CONSOLIDADO IMPUESTOS'!$F$6:$H$17,3,FALSE)</f>
        <v>1128102.5</v>
      </c>
      <c r="L41" s="61">
        <f>VLOOKUP(L33,'CONSOLIDADO IMPUESTOS'!$F$6:$H$17,3,FALSE)</f>
        <v>1122565.5</v>
      </c>
      <c r="M41" s="61">
        <f>VLOOKUP(M33,'CONSOLIDADO IMPUESTOS'!$F$6:$H$17,3,FALSE)</f>
        <v>1130920</v>
      </c>
      <c r="N41" s="80">
        <f>VLOOKUP(N33,'CONSOLIDADO IMPUESTOS'!$F$6:$H$17,3,FALSE)</f>
        <v>1133198.5</v>
      </c>
    </row>
    <row r="42" spans="2:14" x14ac:dyDescent="0.25">
      <c r="B42" s="114" t="s">
        <v>4</v>
      </c>
      <c r="C42" s="61">
        <f>VLOOKUP(C33,'CONSOLIDADO IMPUESTOS'!$B$6:$D$17,3,FALSE)</f>
        <v>0</v>
      </c>
      <c r="D42" s="61">
        <f>VLOOKUP(D33,'CONSOLIDADO IMPUESTOS'!$B$6:$D$17,3,FALSE)</f>
        <v>0</v>
      </c>
      <c r="E42" s="61">
        <f>VLOOKUP(E33,'CONSOLIDADO IMPUESTOS'!$B$6:$D$17,3,FALSE)</f>
        <v>13653826.550000001</v>
      </c>
      <c r="F42" s="61">
        <f>VLOOKUP(F33,'CONSOLIDADO IMPUESTOS'!$B$6:$D$17,3,FALSE)</f>
        <v>0</v>
      </c>
      <c r="G42" s="61">
        <f>VLOOKUP(G33,'CONSOLIDADO IMPUESTOS'!$B$6:$D$17,3,FALSE)</f>
        <v>13205038</v>
      </c>
      <c r="H42" s="61">
        <f>VLOOKUP(H33,'CONSOLIDADO IMPUESTOS'!$B$6:$D$17,3,FALSE)</f>
        <v>0</v>
      </c>
      <c r="I42" s="61">
        <f>VLOOKUP(I33,'CONSOLIDADO IMPUESTOS'!$B$6:$D$17,3,FALSE)</f>
        <v>12830044.5</v>
      </c>
      <c r="J42" s="61">
        <f>VLOOKUP(J33,'CONSOLIDADO IMPUESTOS'!$B$6:$D$17,3,FALSE)</f>
        <v>0</v>
      </c>
      <c r="K42" s="61">
        <f>VLOOKUP(K33,'CONSOLIDADO IMPUESTOS'!$B$6:$D$17,3,FALSE)</f>
        <v>13063492.75</v>
      </c>
      <c r="L42" s="61">
        <f>VLOOKUP(L33,'CONSOLIDADO IMPUESTOS'!$B$6:$D$17,3,FALSE)</f>
        <v>0</v>
      </c>
      <c r="M42" s="61">
        <f>VLOOKUP(M33,'CONSOLIDADO IMPUESTOS'!$B$6:$D$17,3,FALSE)</f>
        <v>12961914</v>
      </c>
      <c r="N42" s="80">
        <f>VLOOKUP(N33,'CONSOLIDADO IMPUESTOS'!$B$6:$D$17,3,FALSE)</f>
        <v>0</v>
      </c>
    </row>
    <row r="43" spans="2:14" x14ac:dyDescent="0.25">
      <c r="B43" s="114" t="s">
        <v>164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80"/>
    </row>
    <row r="44" spans="2:14" x14ac:dyDescent="0.25">
      <c r="B44" s="114" t="s">
        <v>165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80"/>
    </row>
    <row r="45" spans="2:14" x14ac:dyDescent="0.25">
      <c r="B45" s="114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80"/>
    </row>
    <row r="46" spans="2:14" x14ac:dyDescent="0.25">
      <c r="B46" s="116" t="s">
        <v>96</v>
      </c>
      <c r="C46" s="78">
        <f>SUM(C39:C45)</f>
        <v>59142845.100000001</v>
      </c>
      <c r="D46" s="78">
        <f t="shared" ref="D46:N46" si="9">SUM(D39:D45)</f>
        <v>60646532.600000001</v>
      </c>
      <c r="E46" s="78">
        <f t="shared" si="9"/>
        <v>72216634.150000006</v>
      </c>
      <c r="F46" s="78">
        <f t="shared" si="9"/>
        <v>60337073.100000001</v>
      </c>
      <c r="G46" s="78">
        <f t="shared" si="9"/>
        <v>72079436.599999994</v>
      </c>
      <c r="H46" s="78">
        <f t="shared" si="9"/>
        <v>64080868.100000001</v>
      </c>
      <c r="I46" s="78">
        <f t="shared" si="9"/>
        <v>72072065.599999994</v>
      </c>
      <c r="J46" s="78">
        <f t="shared" si="9"/>
        <v>59087377.100000001</v>
      </c>
      <c r="K46" s="78">
        <f t="shared" si="9"/>
        <v>71963224.349999994</v>
      </c>
      <c r="L46" s="78">
        <f t="shared" si="9"/>
        <v>59169893.100000001</v>
      </c>
      <c r="M46" s="78">
        <f t="shared" si="9"/>
        <v>72215352.099999994</v>
      </c>
      <c r="N46" s="81">
        <f t="shared" si="9"/>
        <v>80830328.019999996</v>
      </c>
    </row>
    <row r="47" spans="2:14" x14ac:dyDescent="0.25">
      <c r="B47" s="114" t="s">
        <v>129</v>
      </c>
      <c r="C47" s="61">
        <f>C37-C46</f>
        <v>10665114.292499997</v>
      </c>
      <c r="D47" s="61">
        <f>D37-D46</f>
        <v>22136592.982499994</v>
      </c>
      <c r="E47" s="61">
        <f t="shared" ref="E47:N47" si="10">E37-E46</f>
        <v>6223685.5</v>
      </c>
      <c r="F47" s="61">
        <f t="shared" si="10"/>
        <v>21427374.70000001</v>
      </c>
      <c r="G47" s="61">
        <f t="shared" si="10"/>
        <v>6865618.575000003</v>
      </c>
      <c r="H47" s="61">
        <f t="shared" si="10"/>
        <v>14301995.374999993</v>
      </c>
      <c r="I47" s="61">
        <f t="shared" si="10"/>
        <v>7310241.6875</v>
      </c>
      <c r="J47" s="61">
        <f t="shared" si="10"/>
        <v>20115481.162499987</v>
      </c>
      <c r="K47" s="61">
        <f t="shared" si="10"/>
        <v>6692175.900000006</v>
      </c>
      <c r="L47" s="61">
        <f t="shared" si="10"/>
        <v>19962108.100000016</v>
      </c>
      <c r="M47" s="61">
        <f t="shared" si="10"/>
        <v>7254118.224999994</v>
      </c>
      <c r="N47" s="80">
        <f t="shared" si="10"/>
        <v>-995233.17000000179</v>
      </c>
    </row>
    <row r="48" spans="2:14" x14ac:dyDescent="0.25">
      <c r="B48" s="114" t="s">
        <v>130</v>
      </c>
      <c r="C48" s="61">
        <v>150000000</v>
      </c>
      <c r="D48" s="61">
        <f>C49</f>
        <v>160665114.29249999</v>
      </c>
      <c r="E48" s="61">
        <f t="shared" ref="E48:N48" si="11">D49</f>
        <v>182801707.27499998</v>
      </c>
      <c r="F48" s="61">
        <f t="shared" si="11"/>
        <v>189025392.77499998</v>
      </c>
      <c r="G48" s="61">
        <f t="shared" si="11"/>
        <v>210452767.47499999</v>
      </c>
      <c r="H48" s="61">
        <f t="shared" si="11"/>
        <v>217318386.05000001</v>
      </c>
      <c r="I48" s="61">
        <f t="shared" si="11"/>
        <v>231620381.42500001</v>
      </c>
      <c r="J48" s="61">
        <f t="shared" si="11"/>
        <v>238930623.11250001</v>
      </c>
      <c r="K48" s="61">
        <f t="shared" si="11"/>
        <v>259046104.27500001</v>
      </c>
      <c r="L48" s="61">
        <f t="shared" si="11"/>
        <v>265738280.17500001</v>
      </c>
      <c r="M48" s="61">
        <f t="shared" si="11"/>
        <v>285700388.27500004</v>
      </c>
      <c r="N48" s="80">
        <f t="shared" si="11"/>
        <v>292954506.5</v>
      </c>
    </row>
    <row r="49" spans="2:14" ht="15.75" thickBot="1" x14ac:dyDescent="0.3">
      <c r="B49" s="117" t="s">
        <v>131</v>
      </c>
      <c r="C49" s="182">
        <f>C47+C48</f>
        <v>160665114.29249999</v>
      </c>
      <c r="D49" s="182">
        <f>D47+D48</f>
        <v>182801707.27499998</v>
      </c>
      <c r="E49" s="182">
        <f t="shared" ref="E49:N49" si="12">E47+E48</f>
        <v>189025392.77499998</v>
      </c>
      <c r="F49" s="182">
        <f t="shared" si="12"/>
        <v>210452767.47499999</v>
      </c>
      <c r="G49" s="182">
        <f t="shared" si="12"/>
        <v>217318386.05000001</v>
      </c>
      <c r="H49" s="182">
        <f t="shared" si="12"/>
        <v>231620381.42500001</v>
      </c>
      <c r="I49" s="182">
        <f t="shared" si="12"/>
        <v>238930623.11250001</v>
      </c>
      <c r="J49" s="182">
        <f t="shared" si="12"/>
        <v>259046104.27500001</v>
      </c>
      <c r="K49" s="182">
        <f t="shared" si="12"/>
        <v>265738280.17500001</v>
      </c>
      <c r="L49" s="182">
        <f t="shared" si="12"/>
        <v>285700388.27500004</v>
      </c>
      <c r="M49" s="182">
        <f t="shared" si="12"/>
        <v>292954506.5</v>
      </c>
      <c r="N49" s="183">
        <f t="shared" si="12"/>
        <v>291959273.32999998</v>
      </c>
    </row>
  </sheetData>
  <mergeCells count="3">
    <mergeCell ref="B2:N2"/>
    <mergeCell ref="B17:N17"/>
    <mergeCell ref="B32:N32"/>
  </mergeCells>
  <phoneticPr fontId="6" type="noConversion"/>
  <pageMargins left="0.7" right="0.7" top="0.75" bottom="0.75" header="0.3" footer="0.3"/>
  <ignoredErrors>
    <ignoredError sqref="C11:N11 C7:N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TAPABOCAS</vt:lpstr>
      <vt:lpstr>LITROS GEL ANTB</vt:lpstr>
      <vt:lpstr>LITROS DESINF.</vt:lpstr>
      <vt:lpstr>CONSOLIDADO DE COMPRAS Y VENTAS</vt:lpstr>
      <vt:lpstr>CONSOLIDADO IMPUESTOS</vt:lpstr>
      <vt:lpstr>Nomina-Operarios</vt:lpstr>
      <vt:lpstr>Nomina-Administradores</vt:lpstr>
      <vt:lpstr>GASTOS DE OPERACION</vt:lpstr>
      <vt:lpstr>RESULTADOS</vt:lpstr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González</dc:creator>
  <cp:lastModifiedBy>omar noriega</cp:lastModifiedBy>
  <dcterms:created xsi:type="dcterms:W3CDTF">2021-01-25T19:59:47Z</dcterms:created>
  <dcterms:modified xsi:type="dcterms:W3CDTF">2021-02-22T04:38:02Z</dcterms:modified>
</cp:coreProperties>
</file>