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</sheets>
  <definedNames>
    <definedName name="_xlnm.Print_Area" localSheetId="0">'Hoja1'!$A$1:$E$88</definedName>
    <definedName name="Z_B516E2E4_33D9_4652_84CC_2883E1CC4CD0_.wvu.PrintArea" localSheetId="0" hidden="1">'Hoja1'!$A$1:$E$88</definedName>
  </definedNames>
  <calcPr fullCalcOnLoad="1"/>
</workbook>
</file>

<file path=xl/sharedStrings.xml><?xml version="1.0" encoding="utf-8"?>
<sst xmlns="http://schemas.openxmlformats.org/spreadsheetml/2006/main" count="93" uniqueCount="75">
  <si>
    <t>ACTIVOS</t>
  </si>
  <si>
    <t>Caja menuda</t>
  </si>
  <si>
    <t>Cuentas por Cobrar Empleados</t>
  </si>
  <si>
    <t>Cuentas por Cobrar Otros</t>
  </si>
  <si>
    <t>Inventario de Super</t>
  </si>
  <si>
    <t>Inventario Diesel</t>
  </si>
  <si>
    <t>Inventario Sin Plomo</t>
  </si>
  <si>
    <t>Inventario Lubricantes</t>
  </si>
  <si>
    <t>TOTAL DE ACTIVOS CORRIENTES</t>
  </si>
  <si>
    <t>Propiedad, Planta y Equipo</t>
  </si>
  <si>
    <t>Televisor</t>
  </si>
  <si>
    <t>Equipo de Oficina</t>
  </si>
  <si>
    <t>Edificio</t>
  </si>
  <si>
    <t>Programas</t>
  </si>
  <si>
    <t>Construcciones (Carretera)</t>
  </si>
  <si>
    <t>Estacionamientos</t>
  </si>
  <si>
    <t>Taller</t>
  </si>
  <si>
    <t>Planta eléctrica</t>
  </si>
  <si>
    <t>Lava-auto</t>
  </si>
  <si>
    <t>Bomba Surtidora</t>
  </si>
  <si>
    <t>Teléfonos</t>
  </si>
  <si>
    <t>Anexos o Mejoras</t>
  </si>
  <si>
    <t>Depreciación Acumulada</t>
  </si>
  <si>
    <t>TOTAL PROPIEDAD, PLANTA Y EQUIPO</t>
  </si>
  <si>
    <t>Impuesto pagado por adelantado</t>
  </si>
  <si>
    <t>Seguro pagado por adelantado</t>
  </si>
  <si>
    <t>Equipo Rodante</t>
  </si>
  <si>
    <t>Depósito de Garantía</t>
  </si>
  <si>
    <t>TOTAL DE OTROS ACTIVOS</t>
  </si>
  <si>
    <t>TOTAL DE ACTIVOS</t>
  </si>
  <si>
    <t>NOTAS</t>
  </si>
  <si>
    <t>EMPRESA XYZ, S. A.</t>
  </si>
  <si>
    <t>ESTADO DE SITUACIÓN</t>
  </si>
  <si>
    <t>(Cifras en balboas)</t>
  </si>
  <si>
    <t>PASIVOS</t>
  </si>
  <si>
    <t>Sobregiro Bancario</t>
  </si>
  <si>
    <t>Cuentas por Pagar</t>
  </si>
  <si>
    <t>Impuesto sobre la Renta por Pagar</t>
  </si>
  <si>
    <t>Prestaciones Laborales por Pagar</t>
  </si>
  <si>
    <t>Seguro Social por Pagar</t>
  </si>
  <si>
    <t>Cuentas por Pagar- Otros</t>
  </si>
  <si>
    <t>Cuentas por Pagar- Ministerio</t>
  </si>
  <si>
    <t>TOTAL DE PASIVOS CORRIENTES</t>
  </si>
  <si>
    <t>TOTAL DE PASIVOS LARGO PLAZO</t>
  </si>
  <si>
    <t>PATRIMONIO DE LOS ACCIONISTAS</t>
  </si>
  <si>
    <t>Utilidades no distribuidas</t>
  </si>
  <si>
    <t>TOTAL DE PASIVOS</t>
  </si>
  <si>
    <t>TOTAL DE PASIVOS Y PATRIMONIO</t>
  </si>
  <si>
    <t>Variación</t>
  </si>
  <si>
    <t>Activos Corrientes</t>
  </si>
  <si>
    <t>PasivosLargo Plazo</t>
  </si>
  <si>
    <t>Pasivos Corrientes</t>
  </si>
  <si>
    <t>Otros Activos</t>
  </si>
  <si>
    <t xml:space="preserve">Cuentas por Pagar </t>
  </si>
  <si>
    <t xml:space="preserve">Préstamos por pagar </t>
  </si>
  <si>
    <t>Cuentas por Cobrar Clientes</t>
  </si>
  <si>
    <t>El balance de situación debe ser leído en conjunto con las notas que forman parte integral de los estados financieros.</t>
  </si>
  <si>
    <t>Valor</t>
  </si>
  <si>
    <t>%</t>
  </si>
  <si>
    <t>Dep. Corriente</t>
  </si>
  <si>
    <t>Dep. Acumulada</t>
  </si>
  <si>
    <t>Valor Actual</t>
  </si>
  <si>
    <t>Mobiliario y Equipo de Oficina</t>
  </si>
  <si>
    <t>Equipo</t>
  </si>
  <si>
    <t>Subtotal</t>
  </si>
  <si>
    <r>
      <t xml:space="preserve">Más: </t>
    </r>
    <r>
      <rPr>
        <sz val="10"/>
        <rFont val="Arial"/>
        <family val="2"/>
      </rPr>
      <t>Construcciones (Carretera)</t>
    </r>
  </si>
  <si>
    <t>Valor Neto de Propiedad, Planta y Equipo</t>
  </si>
  <si>
    <t>1, 5</t>
  </si>
  <si>
    <t>Costos de Vtas</t>
  </si>
  <si>
    <t>Prom dias</t>
  </si>
  <si>
    <t>Rotacion de Cap de Trab</t>
  </si>
  <si>
    <t>31 de diciembre de 2008 - 2007</t>
  </si>
  <si>
    <t>774-4546</t>
  </si>
  <si>
    <t>Alí</t>
  </si>
  <si>
    <t>ANALISIS HORIZONTAL</t>
  </si>
</sst>
</file>

<file path=xl/styles.xml><?xml version="1.0" encoding="utf-8"?>
<styleSheet xmlns="http://schemas.openxmlformats.org/spreadsheetml/2006/main">
  <numFmts count="44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&quot;B/.&quot;\ * #,##0.00_ ;_ &quot;B/.&quot;\ * \-#,##0.00_ ;_ &quot;B/.&quot;\ * &quot;-&quot;??_ ;_ @_ "/>
    <numFmt numFmtId="178" formatCode="#,##0.00_ ;[Red]\-#,##0.00\ "/>
    <numFmt numFmtId="179" formatCode="&quot;B/.&quot;\ #,##0.00"/>
    <numFmt numFmtId="180" formatCode="#,##0.00;[Red]#,##0.00"/>
    <numFmt numFmtId="181" formatCode="&quot;B/.&quot;\ #,##0.00;[Red]&quot;B/.&quot;\ #,##0.00"/>
    <numFmt numFmtId="182" formatCode="[$-180A]hh:mm:ss\ AM/PM"/>
    <numFmt numFmtId="183" formatCode="[$-18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#,##0.0000"/>
    <numFmt numFmtId="197" formatCode="0.0"/>
    <numFmt numFmtId="198" formatCode="dd/mm/yyyy"/>
    <numFmt numFmtId="199" formatCode="0.00_ ;[Red]\-0.00\ "/>
  </numFmts>
  <fonts count="51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Harrington"/>
      <family val="5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10"/>
      <color indexed="9"/>
      <name val="Arial"/>
      <family val="0"/>
    </font>
    <font>
      <u val="single"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9" fontId="3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5" fillId="0" borderId="11" xfId="0" applyNumberFormat="1" applyFont="1" applyBorder="1" applyAlignment="1">
      <alignment horizontal="right"/>
    </xf>
    <xf numFmtId="180" fontId="0" fillId="0" borderId="0" xfId="0" applyNumberFormat="1" applyFont="1" applyAlignment="1">
      <alignment horizontal="right"/>
    </xf>
    <xf numFmtId="180" fontId="0" fillId="0" borderId="11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180" fontId="3" fillId="0" borderId="11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 wrapText="1"/>
    </xf>
    <xf numFmtId="4" fontId="0" fillId="0" borderId="20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justify" vertical="top" wrapText="1"/>
    </xf>
    <xf numFmtId="4" fontId="0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justify" vertical="top" wrapText="1"/>
    </xf>
    <xf numFmtId="0" fontId="0" fillId="0" borderId="23" xfId="0" applyFont="1" applyBorder="1" applyAlignment="1">
      <alignment wrapText="1"/>
    </xf>
    <xf numFmtId="0" fontId="10" fillId="0" borderId="23" xfId="0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 vertical="top" wrapText="1"/>
    </xf>
    <xf numFmtId="0" fontId="8" fillId="0" borderId="20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0" fontId="9" fillId="0" borderId="24" xfId="0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right" vertical="top" wrapText="1"/>
    </xf>
    <xf numFmtId="180" fontId="0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/>
    </xf>
    <xf numFmtId="180" fontId="9" fillId="0" borderId="18" xfId="0" applyNumberFormat="1" applyFont="1" applyBorder="1" applyAlignment="1">
      <alignment horizontal="right" vertical="top" wrapText="1"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180" fontId="0" fillId="0" borderId="25" xfId="0" applyNumberFormat="1" applyFont="1" applyBorder="1" applyAlignment="1">
      <alignment/>
    </xf>
    <xf numFmtId="0" fontId="12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180" fontId="12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180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9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9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130" zoomScaleNormal="130" zoomScalePageLayoutView="0" workbookViewId="0" topLeftCell="A246">
      <selection activeCell="E9" sqref="E9"/>
    </sheetView>
  </sheetViews>
  <sheetFormatPr defaultColWidth="11.421875" defaultRowHeight="12.75"/>
  <cols>
    <col min="1" max="1" width="43.7109375" style="0" customWidth="1"/>
    <col min="2" max="2" width="11.421875" style="2" customWidth="1"/>
    <col min="3" max="4" width="13.140625" style="0" bestFit="1" customWidth="1"/>
    <col min="5" max="5" width="13.7109375" style="0" bestFit="1" customWidth="1"/>
    <col min="6" max="6" width="0" style="0" hidden="1" customWidth="1"/>
    <col min="7" max="7" width="12.140625" style="0" hidden="1" customWidth="1"/>
    <col min="8" max="8" width="14.28125" style="0" hidden="1" customWidth="1"/>
    <col min="9" max="17" width="0" style="0" hidden="1" customWidth="1"/>
    <col min="20" max="20" width="0" style="0" hidden="1" customWidth="1"/>
  </cols>
  <sheetData>
    <row r="1" spans="1:5" ht="21" thickTop="1">
      <c r="A1" s="108" t="s">
        <v>31</v>
      </c>
      <c r="B1" s="108"/>
      <c r="C1" s="108"/>
      <c r="D1" s="108"/>
      <c r="E1" s="108"/>
    </row>
    <row r="2" spans="1:5" ht="15.75">
      <c r="A2" s="106" t="s">
        <v>32</v>
      </c>
      <c r="B2" s="106"/>
      <c r="C2" s="106"/>
      <c r="D2" s="106"/>
      <c r="E2" s="106"/>
    </row>
    <row r="3" spans="1:5" ht="15.75">
      <c r="A3" s="106" t="s">
        <v>71</v>
      </c>
      <c r="B3" s="106"/>
      <c r="C3" s="106"/>
      <c r="D3" s="106"/>
      <c r="E3" s="106"/>
    </row>
    <row r="4" spans="1:5" ht="13.5" thickBot="1">
      <c r="A4" s="107" t="s">
        <v>33</v>
      </c>
      <c r="B4" s="107"/>
      <c r="C4" s="107"/>
      <c r="D4" s="107"/>
      <c r="E4" s="107"/>
    </row>
    <row r="5" spans="1:18" ht="13.5" thickTop="1">
      <c r="A5" s="9"/>
      <c r="B5" s="8"/>
      <c r="C5" s="9"/>
      <c r="D5" s="9"/>
      <c r="E5" s="9"/>
      <c r="R5" t="s">
        <v>74</v>
      </c>
    </row>
    <row r="6" spans="1:19" ht="12.75">
      <c r="A6" s="90"/>
      <c r="B6" s="89" t="s">
        <v>30</v>
      </c>
      <c r="C6" s="92">
        <v>2008</v>
      </c>
      <c r="D6" s="92">
        <v>2007</v>
      </c>
      <c r="E6" s="89" t="s">
        <v>48</v>
      </c>
      <c r="R6" s="2" t="s">
        <v>58</v>
      </c>
      <c r="S6" s="2" t="s">
        <v>58</v>
      </c>
    </row>
    <row r="7" spans="1:5" ht="12.75">
      <c r="A7" s="10" t="s">
        <v>0</v>
      </c>
      <c r="B7" s="40"/>
      <c r="C7" s="26"/>
      <c r="D7" s="26"/>
      <c r="E7" s="11"/>
    </row>
    <row r="8" spans="1:5" ht="12.75">
      <c r="A8" s="12" t="s">
        <v>49</v>
      </c>
      <c r="B8" s="41"/>
      <c r="C8" s="27"/>
      <c r="D8" s="27"/>
      <c r="E8" s="13"/>
    </row>
    <row r="9" spans="1:20" ht="12.75">
      <c r="A9" s="13" t="s">
        <v>1</v>
      </c>
      <c r="B9" s="41">
        <v>2</v>
      </c>
      <c r="C9" s="28">
        <v>120</v>
      </c>
      <c r="D9" s="28">
        <v>70</v>
      </c>
      <c r="E9" s="15">
        <f>C9-D9</f>
        <v>50</v>
      </c>
      <c r="F9" s="1">
        <f>C9-D9</f>
        <v>50</v>
      </c>
      <c r="G9" s="94">
        <f>C9</f>
        <v>120</v>
      </c>
      <c r="H9" s="94">
        <f>D9</f>
        <v>70</v>
      </c>
      <c r="R9" s="103">
        <f>((C9-D9)/D9)*100</f>
        <v>71.42857142857143</v>
      </c>
      <c r="S9" s="102">
        <f>((C9/D9)-1)*100</f>
        <v>71.42857142857142</v>
      </c>
      <c r="T9" s="101" t="s">
        <v>73</v>
      </c>
    </row>
    <row r="10" spans="1:20" ht="12.75">
      <c r="A10" s="13" t="s">
        <v>55</v>
      </c>
      <c r="B10" s="41">
        <v>3</v>
      </c>
      <c r="C10" s="29">
        <f>110246.08*60%</f>
        <v>66147.648</v>
      </c>
      <c r="D10" s="29">
        <f>112598.83*60%</f>
        <v>67559.298</v>
      </c>
      <c r="E10" s="14">
        <f aca="true" t="shared" si="0" ref="E10:E44">C10-D10</f>
        <v>-1411.6499999999942</v>
      </c>
      <c r="F10" s="1">
        <f>D10-C10</f>
        <v>1411.6499999999942</v>
      </c>
      <c r="G10" s="95">
        <f>G9/92162.51</f>
        <v>0.0013020478717430766</v>
      </c>
      <c r="H10" s="95">
        <f>H9/93775.59</f>
        <v>0.0007464629121501662</v>
      </c>
      <c r="R10" s="103">
        <f aca="true" t="shared" si="1" ref="R10:R19">((C10-D10)/D10)*100</f>
        <v>-2.089497732791709</v>
      </c>
      <c r="T10" t="s">
        <v>72</v>
      </c>
    </row>
    <row r="11" spans="1:18" ht="12.75">
      <c r="A11" s="13" t="s">
        <v>2</v>
      </c>
      <c r="B11" s="41">
        <v>3</v>
      </c>
      <c r="C11" s="29">
        <v>3390.55</v>
      </c>
      <c r="D11" s="29">
        <v>4692.08</v>
      </c>
      <c r="E11" s="14">
        <f t="shared" si="0"/>
        <v>-1301.5299999999997</v>
      </c>
      <c r="F11" s="1">
        <f aca="true" t="shared" si="2" ref="F11:F44">D11-C11</f>
        <v>1301.5299999999997</v>
      </c>
      <c r="H11" s="3">
        <f>C10+C40</f>
        <v>110246.08</v>
      </c>
      <c r="I11" s="3">
        <f>D10+D40</f>
        <v>112598.83</v>
      </c>
      <c r="R11" s="103">
        <f t="shared" si="1"/>
        <v>-27.738870607491766</v>
      </c>
    </row>
    <row r="12" spans="1:18" ht="12.75">
      <c r="A12" s="13" t="s">
        <v>3</v>
      </c>
      <c r="B12" s="41">
        <v>3</v>
      </c>
      <c r="C12" s="29">
        <f>12945.58*40%</f>
        <v>5178.232</v>
      </c>
      <c r="D12" s="29">
        <f>4469.57*40%</f>
        <v>1787.828</v>
      </c>
      <c r="E12" s="14">
        <f t="shared" si="0"/>
        <v>3390.404</v>
      </c>
      <c r="F12" s="1">
        <f t="shared" si="2"/>
        <v>-3390.404</v>
      </c>
      <c r="H12" s="3">
        <f>C11</f>
        <v>3390.55</v>
      </c>
      <c r="I12" s="3">
        <f>D11+D41</f>
        <v>7373.822</v>
      </c>
      <c r="R12" s="103">
        <f t="shared" si="1"/>
        <v>189.63815311092566</v>
      </c>
    </row>
    <row r="13" spans="1:18" ht="12.75">
      <c r="A13" s="13" t="s">
        <v>4</v>
      </c>
      <c r="B13" s="41">
        <v>4</v>
      </c>
      <c r="C13" s="29">
        <v>760</v>
      </c>
      <c r="D13" s="29">
        <v>1068.42</v>
      </c>
      <c r="E13" s="14">
        <f t="shared" si="0"/>
        <v>-308.4200000000001</v>
      </c>
      <c r="F13" s="1">
        <f t="shared" si="2"/>
        <v>308.4200000000001</v>
      </c>
      <c r="H13" s="3">
        <f>C12+C41</f>
        <v>12945.58</v>
      </c>
      <c r="I13" s="3">
        <f>D12+D41</f>
        <v>4469.57</v>
      </c>
      <c r="R13" s="103">
        <f t="shared" si="1"/>
        <v>-28.86692499204433</v>
      </c>
    </row>
    <row r="14" spans="1:18" ht="12.75">
      <c r="A14" s="13" t="s">
        <v>5</v>
      </c>
      <c r="B14" s="41">
        <v>4</v>
      </c>
      <c r="C14" s="29">
        <v>5000</v>
      </c>
      <c r="D14" s="29">
        <v>3655.92</v>
      </c>
      <c r="E14" s="14">
        <f t="shared" si="0"/>
        <v>1344.08</v>
      </c>
      <c r="F14" s="1">
        <f t="shared" si="2"/>
        <v>-1344.08</v>
      </c>
      <c r="H14" s="3">
        <f>SUM(H11:H13)</f>
        <v>126582.21</v>
      </c>
      <c r="I14" s="3">
        <f>SUM(I11:I13)</f>
        <v>124442.22200000001</v>
      </c>
      <c r="R14" s="103">
        <f t="shared" si="1"/>
        <v>36.764480623208385</v>
      </c>
    </row>
    <row r="15" spans="1:18" ht="12.75">
      <c r="A15" s="13" t="s">
        <v>6</v>
      </c>
      <c r="B15" s="41">
        <v>4</v>
      </c>
      <c r="C15" s="29">
        <v>2516.89</v>
      </c>
      <c r="D15" s="29">
        <v>1062.08</v>
      </c>
      <c r="E15" s="14">
        <f t="shared" si="0"/>
        <v>1454.81</v>
      </c>
      <c r="F15" s="1">
        <f t="shared" si="2"/>
        <v>-1454.81</v>
      </c>
      <c r="R15" s="103">
        <f t="shared" si="1"/>
        <v>136.97744049412475</v>
      </c>
    </row>
    <row r="16" spans="1:18" ht="12.75">
      <c r="A16" s="13" t="s">
        <v>7</v>
      </c>
      <c r="B16" s="41">
        <v>4</v>
      </c>
      <c r="C16" s="30">
        <v>2246.65</v>
      </c>
      <c r="D16" s="30">
        <v>2172.05</v>
      </c>
      <c r="E16" s="14">
        <f t="shared" si="0"/>
        <v>74.59999999999991</v>
      </c>
      <c r="F16" s="1">
        <f t="shared" si="2"/>
        <v>-74.59999999999991</v>
      </c>
      <c r="R16" s="103">
        <f t="shared" si="1"/>
        <v>3.4345434036969635</v>
      </c>
    </row>
    <row r="17" spans="1:18" ht="12.75">
      <c r="A17" s="13" t="s">
        <v>24</v>
      </c>
      <c r="B17" s="41"/>
      <c r="C17" s="29">
        <v>867.48</v>
      </c>
      <c r="D17" s="29">
        <v>0</v>
      </c>
      <c r="E17" s="14">
        <f t="shared" si="0"/>
        <v>867.48</v>
      </c>
      <c r="F17" s="1">
        <f t="shared" si="2"/>
        <v>-867.48</v>
      </c>
      <c r="R17" s="103">
        <v>100</v>
      </c>
    </row>
    <row r="18" spans="1:18" ht="12.75">
      <c r="A18" s="13" t="s">
        <v>25</v>
      </c>
      <c r="B18" s="41"/>
      <c r="C18" s="31">
        <v>1862.94</v>
      </c>
      <c r="D18" s="31">
        <v>4205.65</v>
      </c>
      <c r="E18" s="14">
        <f t="shared" si="0"/>
        <v>-2342.7099999999996</v>
      </c>
      <c r="F18" s="1">
        <f t="shared" si="2"/>
        <v>2342.7099999999996</v>
      </c>
      <c r="H18" s="46">
        <v>760</v>
      </c>
      <c r="I18" s="47">
        <v>1068.42</v>
      </c>
      <c r="R18" s="103">
        <f t="shared" si="1"/>
        <v>-55.703874549712886</v>
      </c>
    </row>
    <row r="19" spans="1:18" ht="12.75">
      <c r="A19" s="19" t="s">
        <v>8</v>
      </c>
      <c r="B19" s="42"/>
      <c r="C19" s="32">
        <f>SUM(C9:C18)</f>
        <v>88090.39</v>
      </c>
      <c r="D19" s="32">
        <f>SUM(D9:D18)</f>
        <v>86273.32599999999</v>
      </c>
      <c r="E19" s="25">
        <f t="shared" si="0"/>
        <v>1817.064000000013</v>
      </c>
      <c r="F19" s="1">
        <f t="shared" si="2"/>
        <v>-1817.064000000013</v>
      </c>
      <c r="H19" s="48">
        <v>5000</v>
      </c>
      <c r="I19" s="47">
        <v>3655.92</v>
      </c>
      <c r="R19" s="103">
        <f t="shared" si="1"/>
        <v>2.1061712631781617</v>
      </c>
    </row>
    <row r="20" spans="1:18" ht="12.75">
      <c r="A20" s="17"/>
      <c r="B20" s="42"/>
      <c r="C20" s="33"/>
      <c r="D20" s="33"/>
      <c r="E20" s="18"/>
      <c r="F20" s="1"/>
      <c r="H20" s="48">
        <v>2516.89</v>
      </c>
      <c r="I20" s="47">
        <v>1062.08</v>
      </c>
      <c r="R20" s="103"/>
    </row>
    <row r="21" spans="1:13" ht="13.5" thickBot="1">
      <c r="A21" s="12" t="s">
        <v>9</v>
      </c>
      <c r="B21" s="41"/>
      <c r="C21" s="29"/>
      <c r="D21" s="29"/>
      <c r="E21" s="14"/>
      <c r="F21" s="1"/>
      <c r="H21" s="49">
        <v>2246.65</v>
      </c>
      <c r="I21" s="50">
        <v>2172.05</v>
      </c>
      <c r="K21" t="s">
        <v>68</v>
      </c>
      <c r="M21" t="s">
        <v>69</v>
      </c>
    </row>
    <row r="22" spans="1:13" ht="12.75">
      <c r="A22" s="9" t="s">
        <v>10</v>
      </c>
      <c r="B22" s="41">
        <v>5</v>
      </c>
      <c r="C22" s="29">
        <v>400</v>
      </c>
      <c r="D22" s="29">
        <v>400</v>
      </c>
      <c r="E22" s="14">
        <f t="shared" si="0"/>
        <v>0</v>
      </c>
      <c r="F22" s="1">
        <f t="shared" si="2"/>
        <v>0</v>
      </c>
      <c r="H22" s="45">
        <f>SUM(H18:H21)</f>
        <v>10523.539999999999</v>
      </c>
      <c r="I22">
        <f>SUM(I18:I21)</f>
        <v>7958.47</v>
      </c>
      <c r="J22">
        <f>(H22+I22)/2</f>
        <v>9241.005</v>
      </c>
      <c r="K22" t="e">
        <f>#REF!</f>
        <v>#REF!</v>
      </c>
      <c r="L22" s="97" t="e">
        <f>K22/J22</f>
        <v>#REF!</v>
      </c>
      <c r="M22" s="96" t="e">
        <f>365/L22</f>
        <v>#REF!</v>
      </c>
    </row>
    <row r="23" spans="1:6" ht="12.75">
      <c r="A23" s="9" t="s">
        <v>11</v>
      </c>
      <c r="B23" s="41">
        <v>5</v>
      </c>
      <c r="C23" s="29">
        <v>6440.09</v>
      </c>
      <c r="D23" s="29">
        <v>6040.09</v>
      </c>
      <c r="E23" s="14">
        <f>C23-D23</f>
        <v>400</v>
      </c>
      <c r="F23" s="1">
        <f t="shared" si="2"/>
        <v>-400</v>
      </c>
    </row>
    <row r="24" spans="1:10" ht="12.75">
      <c r="A24" s="9" t="s">
        <v>26</v>
      </c>
      <c r="B24" s="41">
        <v>5</v>
      </c>
      <c r="C24" s="29">
        <v>45000</v>
      </c>
      <c r="D24" s="29">
        <v>45000</v>
      </c>
      <c r="E24" s="14">
        <f t="shared" si="0"/>
        <v>0</v>
      </c>
      <c r="F24" s="1">
        <f t="shared" si="2"/>
        <v>0</v>
      </c>
      <c r="I24" s="29">
        <v>400</v>
      </c>
      <c r="J24" s="29">
        <v>400</v>
      </c>
    </row>
    <row r="25" spans="1:10" ht="12.75">
      <c r="A25" s="9" t="s">
        <v>12</v>
      </c>
      <c r="B25" s="41">
        <v>5</v>
      </c>
      <c r="C25" s="29">
        <v>240501.56</v>
      </c>
      <c r="D25" s="29">
        <v>230775.66</v>
      </c>
      <c r="E25" s="14">
        <f t="shared" si="0"/>
        <v>9725.899999999994</v>
      </c>
      <c r="F25" s="1">
        <f t="shared" si="2"/>
        <v>-9725.899999999994</v>
      </c>
      <c r="I25" s="29">
        <v>6040.09</v>
      </c>
      <c r="J25" s="29">
        <v>6440.09</v>
      </c>
    </row>
    <row r="26" spans="1:10" ht="12.75">
      <c r="A26" s="9" t="s">
        <v>13</v>
      </c>
      <c r="B26" s="41">
        <v>5</v>
      </c>
      <c r="C26" s="29">
        <v>1725</v>
      </c>
      <c r="D26" s="29">
        <v>1300</v>
      </c>
      <c r="E26" s="14">
        <f t="shared" si="0"/>
        <v>425</v>
      </c>
      <c r="F26" s="1">
        <f t="shared" si="2"/>
        <v>-425</v>
      </c>
      <c r="I26" s="29">
        <v>45000</v>
      </c>
      <c r="J26" s="29">
        <v>45000</v>
      </c>
    </row>
    <row r="27" spans="1:10" ht="12.75">
      <c r="A27" s="9" t="s">
        <v>14</v>
      </c>
      <c r="B27" s="41">
        <v>5</v>
      </c>
      <c r="C27" s="29">
        <v>7353</v>
      </c>
      <c r="D27" s="29">
        <v>7143</v>
      </c>
      <c r="E27" s="14">
        <f t="shared" si="0"/>
        <v>210</v>
      </c>
      <c r="F27" s="1">
        <f t="shared" si="2"/>
        <v>-210</v>
      </c>
      <c r="I27" s="29">
        <v>230775.66</v>
      </c>
      <c r="J27" s="29">
        <v>240501.56</v>
      </c>
    </row>
    <row r="28" spans="1:10" ht="12.75">
      <c r="A28" s="9" t="s">
        <v>15</v>
      </c>
      <c r="B28" s="41">
        <v>5</v>
      </c>
      <c r="C28" s="29">
        <v>14306.53</v>
      </c>
      <c r="D28" s="29">
        <v>14306.53</v>
      </c>
      <c r="E28" s="14">
        <f t="shared" si="0"/>
        <v>0</v>
      </c>
      <c r="F28" s="1">
        <f t="shared" si="2"/>
        <v>0</v>
      </c>
      <c r="I28" s="29">
        <v>1300</v>
      </c>
      <c r="J28" s="29">
        <v>1725</v>
      </c>
    </row>
    <row r="29" spans="1:10" ht="12.75">
      <c r="A29" s="9" t="s">
        <v>16</v>
      </c>
      <c r="B29" s="41">
        <v>5</v>
      </c>
      <c r="C29" s="29">
        <v>12309.52</v>
      </c>
      <c r="D29" s="29">
        <v>11869.52</v>
      </c>
      <c r="E29" s="14">
        <f t="shared" si="0"/>
        <v>440</v>
      </c>
      <c r="F29" s="1">
        <f t="shared" si="2"/>
        <v>-440</v>
      </c>
      <c r="I29" s="29">
        <v>7143</v>
      </c>
      <c r="J29" s="29">
        <v>7353</v>
      </c>
    </row>
    <row r="30" spans="1:10" ht="12.75">
      <c r="A30" s="9" t="s">
        <v>17</v>
      </c>
      <c r="B30" s="41">
        <v>5</v>
      </c>
      <c r="C30" s="29">
        <v>5800</v>
      </c>
      <c r="D30" s="29">
        <v>5800</v>
      </c>
      <c r="E30" s="14">
        <f t="shared" si="0"/>
        <v>0</v>
      </c>
      <c r="F30" s="1">
        <f t="shared" si="2"/>
        <v>0</v>
      </c>
      <c r="I30" s="29">
        <v>14306.53</v>
      </c>
      <c r="J30" s="29">
        <v>14306.53</v>
      </c>
    </row>
    <row r="31" spans="1:10" ht="12.75">
      <c r="A31" s="9" t="s">
        <v>18</v>
      </c>
      <c r="B31" s="41">
        <v>5</v>
      </c>
      <c r="C31" s="29">
        <v>2057.38</v>
      </c>
      <c r="D31" s="29">
        <v>2057.38</v>
      </c>
      <c r="E31" s="14">
        <f t="shared" si="0"/>
        <v>0</v>
      </c>
      <c r="F31" s="1">
        <f t="shared" si="2"/>
        <v>0</v>
      </c>
      <c r="I31" s="29">
        <v>11869.52</v>
      </c>
      <c r="J31" s="29">
        <v>12309.52</v>
      </c>
    </row>
    <row r="32" spans="1:10" ht="12.75">
      <c r="A32" s="9" t="s">
        <v>19</v>
      </c>
      <c r="B32" s="41">
        <v>5</v>
      </c>
      <c r="C32" s="29">
        <v>2104.7</v>
      </c>
      <c r="D32" s="29">
        <v>2104.7</v>
      </c>
      <c r="E32" s="14">
        <f t="shared" si="0"/>
        <v>0</v>
      </c>
      <c r="F32" s="1">
        <f t="shared" si="2"/>
        <v>0</v>
      </c>
      <c r="I32" s="29">
        <v>5800</v>
      </c>
      <c r="J32" s="29">
        <v>5800</v>
      </c>
    </row>
    <row r="33" spans="1:10" ht="12.75">
      <c r="A33" s="9" t="s">
        <v>20</v>
      </c>
      <c r="B33" s="41">
        <v>5</v>
      </c>
      <c r="C33" s="29">
        <v>3605.65</v>
      </c>
      <c r="D33" s="29">
        <v>1991.68</v>
      </c>
      <c r="E33" s="14">
        <f t="shared" si="0"/>
        <v>1613.97</v>
      </c>
      <c r="F33" s="1">
        <f t="shared" si="2"/>
        <v>-1613.97</v>
      </c>
      <c r="I33" s="29">
        <v>2057.38</v>
      </c>
      <c r="J33" s="29">
        <v>2057.38</v>
      </c>
    </row>
    <row r="34" spans="1:10" ht="12.75">
      <c r="A34" s="9" t="s">
        <v>21</v>
      </c>
      <c r="B34" s="41">
        <v>5</v>
      </c>
      <c r="C34" s="29">
        <v>5544.66</v>
      </c>
      <c r="D34" s="29">
        <v>2817.3</v>
      </c>
      <c r="E34" s="14">
        <f t="shared" si="0"/>
        <v>2727.3599999999997</v>
      </c>
      <c r="F34" s="1">
        <f t="shared" si="2"/>
        <v>-2727.3599999999997</v>
      </c>
      <c r="I34" s="29">
        <v>2104.7</v>
      </c>
      <c r="J34" s="29">
        <v>2104.7</v>
      </c>
    </row>
    <row r="35" spans="1:10" ht="12.75">
      <c r="A35" s="9" t="s">
        <v>22</v>
      </c>
      <c r="B35" s="41" t="s">
        <v>67</v>
      </c>
      <c r="C35" s="31">
        <v>-66730.78</v>
      </c>
      <c r="D35" s="31">
        <v>-54546.4</v>
      </c>
      <c r="E35" s="14">
        <f t="shared" si="0"/>
        <v>-12184.379999999997</v>
      </c>
      <c r="F35" s="1">
        <f t="shared" si="2"/>
        <v>12184.379999999997</v>
      </c>
      <c r="I35" s="29">
        <v>1991.68</v>
      </c>
      <c r="J35" s="29">
        <v>3605.65</v>
      </c>
    </row>
    <row r="36" spans="1:10" ht="12.75">
      <c r="A36" s="19" t="s">
        <v>23</v>
      </c>
      <c r="B36" s="42"/>
      <c r="C36" s="32">
        <f>SUM(C22:C35)</f>
        <v>280417.31000000006</v>
      </c>
      <c r="D36" s="32">
        <f>SUM(D22:D35)</f>
        <v>277059.46</v>
      </c>
      <c r="E36" s="32">
        <f>SUM(E22:E35)</f>
        <v>3357.849999999995</v>
      </c>
      <c r="F36" s="1">
        <f t="shared" si="2"/>
        <v>-3357.850000000035</v>
      </c>
      <c r="I36" s="29">
        <v>2817.3</v>
      </c>
      <c r="J36" s="29">
        <v>5544.66</v>
      </c>
    </row>
    <row r="37" spans="1:10" ht="12.75">
      <c r="A37" s="17"/>
      <c r="B37" s="42"/>
      <c r="C37" s="33"/>
      <c r="D37" s="33"/>
      <c r="E37" s="18"/>
      <c r="F37" s="1"/>
      <c r="I37" s="31">
        <v>-54546.4</v>
      </c>
      <c r="J37" s="31">
        <v>-66730.78</v>
      </c>
    </row>
    <row r="38" spans="1:6" ht="12.75">
      <c r="A38" s="17"/>
      <c r="B38" s="42"/>
      <c r="C38" s="33"/>
      <c r="D38" s="33"/>
      <c r="E38" s="18"/>
      <c r="F38" s="1"/>
    </row>
    <row r="39" spans="1:6" ht="12.75">
      <c r="A39" s="12" t="s">
        <v>52</v>
      </c>
      <c r="B39" s="41"/>
      <c r="C39" s="29"/>
      <c r="D39" s="29"/>
      <c r="E39" s="14"/>
      <c r="F39" s="1"/>
    </row>
    <row r="40" spans="1:6" ht="12.75">
      <c r="A40" s="13" t="s">
        <v>55</v>
      </c>
      <c r="B40" s="41">
        <v>3</v>
      </c>
      <c r="C40" s="29">
        <f>110246.08*40%</f>
        <v>44098.432</v>
      </c>
      <c r="D40" s="29">
        <f>112598.83*40%</f>
        <v>45039.53200000001</v>
      </c>
      <c r="E40" s="14">
        <f t="shared" si="0"/>
        <v>-941.1000000000058</v>
      </c>
      <c r="F40" s="1">
        <f t="shared" si="2"/>
        <v>941.1000000000058</v>
      </c>
    </row>
    <row r="41" spans="1:6" ht="12.75">
      <c r="A41" s="13" t="s">
        <v>3</v>
      </c>
      <c r="B41" s="41">
        <v>3</v>
      </c>
      <c r="C41" s="29">
        <f>12945.58*60%</f>
        <v>7767.348</v>
      </c>
      <c r="D41" s="29">
        <f>4469.57*60%</f>
        <v>2681.7419999999997</v>
      </c>
      <c r="E41" s="14">
        <f t="shared" si="0"/>
        <v>5085.606</v>
      </c>
      <c r="F41" s="1">
        <f t="shared" si="2"/>
        <v>-5085.606</v>
      </c>
    </row>
    <row r="42" spans="1:6" ht="12.75">
      <c r="A42" s="13" t="s">
        <v>27</v>
      </c>
      <c r="B42" s="41"/>
      <c r="C42" s="29">
        <v>635</v>
      </c>
      <c r="D42" s="29">
        <v>635</v>
      </c>
      <c r="E42" s="14">
        <f t="shared" si="0"/>
        <v>0</v>
      </c>
      <c r="F42" s="1">
        <f t="shared" si="2"/>
        <v>0</v>
      </c>
    </row>
    <row r="43" spans="1:9" ht="12.75">
      <c r="A43" s="19" t="s">
        <v>28</v>
      </c>
      <c r="B43" s="42"/>
      <c r="C43" s="32">
        <f>SUM(C40:C42)</f>
        <v>52500.78</v>
      </c>
      <c r="D43" s="32">
        <f>SUM(D40:D42)</f>
        <v>48356.274000000005</v>
      </c>
      <c r="E43" s="34">
        <f t="shared" si="0"/>
        <v>4144.505999999994</v>
      </c>
      <c r="F43" s="1">
        <f t="shared" si="2"/>
        <v>-4144.505999999994</v>
      </c>
      <c r="H43" s="29">
        <f>110246.08*60%</f>
        <v>66147.648</v>
      </c>
      <c r="I43" s="29">
        <f>112598.83*60%</f>
        <v>67559.298</v>
      </c>
    </row>
    <row r="44" spans="1:9" ht="13.5" thickBot="1">
      <c r="A44" s="20" t="s">
        <v>29</v>
      </c>
      <c r="B44" s="40"/>
      <c r="C44" s="35">
        <f>C19+C36+C43</f>
        <v>421008.4800000001</v>
      </c>
      <c r="D44" s="35">
        <f>D19+D36+D43</f>
        <v>411689.06000000006</v>
      </c>
      <c r="E44" s="24">
        <f t="shared" si="0"/>
        <v>9319.420000000042</v>
      </c>
      <c r="F44" s="1">
        <f t="shared" si="2"/>
        <v>-9319.420000000042</v>
      </c>
      <c r="H44" s="29">
        <v>3390.55</v>
      </c>
      <c r="I44" s="29">
        <v>4692.08</v>
      </c>
    </row>
    <row r="45" spans="1:9" ht="13.5" thickTop="1">
      <c r="A45" s="11"/>
      <c r="B45" s="43"/>
      <c r="C45" s="36"/>
      <c r="D45" s="21"/>
      <c r="E45" s="22"/>
      <c r="F45" s="3"/>
      <c r="H45" s="29">
        <f>12945.58*40%</f>
        <v>5178.232</v>
      </c>
      <c r="I45" s="29">
        <f>4469.57*40%</f>
        <v>1787.828</v>
      </c>
    </row>
    <row r="46" spans="1:9" ht="12.75">
      <c r="A46" s="11"/>
      <c r="B46" s="43"/>
      <c r="C46" s="36"/>
      <c r="D46" s="21"/>
      <c r="E46" s="22"/>
      <c r="F46" s="3"/>
      <c r="H46" s="93">
        <f>SUM(H43:H45)</f>
        <v>74716.43000000001</v>
      </c>
      <c r="I46" s="93">
        <f>SUM(I43:I45)</f>
        <v>74039.20599999999</v>
      </c>
    </row>
    <row r="47" spans="1:6" ht="12.75">
      <c r="A47" s="104" t="s">
        <v>56</v>
      </c>
      <c r="B47" s="105"/>
      <c r="C47" s="105"/>
      <c r="D47" s="105"/>
      <c r="E47" s="105"/>
      <c r="F47" s="3"/>
    </row>
    <row r="48" spans="1:6" ht="12.75">
      <c r="A48" s="105"/>
      <c r="B48" s="105"/>
      <c r="C48" s="105"/>
      <c r="D48" s="105"/>
      <c r="E48" s="105"/>
      <c r="F48" s="3"/>
    </row>
    <row r="49" spans="1:6" ht="12.75">
      <c r="A49" s="11"/>
      <c r="B49" s="43"/>
      <c r="C49" s="36"/>
      <c r="D49" s="21"/>
      <c r="E49" s="22"/>
      <c r="F49" s="3"/>
    </row>
    <row r="50" spans="1:6" ht="12.75">
      <c r="A50" s="11"/>
      <c r="B50" s="43"/>
      <c r="C50" s="36"/>
      <c r="D50" s="21"/>
      <c r="E50" s="22"/>
      <c r="F50" s="3"/>
    </row>
    <row r="51" spans="1:6" ht="12.75">
      <c r="A51" s="11"/>
      <c r="B51" s="43"/>
      <c r="C51" s="36"/>
      <c r="D51" s="21"/>
      <c r="E51" s="22"/>
      <c r="F51" s="3"/>
    </row>
    <row r="52" spans="1:6" ht="12.75">
      <c r="A52" s="11"/>
      <c r="B52" s="43"/>
      <c r="C52" s="36"/>
      <c r="D52" s="21"/>
      <c r="E52" s="22"/>
      <c r="F52" s="3"/>
    </row>
    <row r="53" spans="1:6" ht="12.75">
      <c r="A53" s="11"/>
      <c r="B53" s="43"/>
      <c r="C53" s="36"/>
      <c r="D53" s="21"/>
      <c r="E53" s="22"/>
      <c r="F53" s="3"/>
    </row>
    <row r="54" spans="1:6" ht="12.75">
      <c r="A54" s="11"/>
      <c r="B54" s="43"/>
      <c r="C54" s="36"/>
      <c r="D54" s="21"/>
      <c r="E54" s="22"/>
      <c r="F54" s="3"/>
    </row>
    <row r="55" spans="1:6" ht="13.5" thickBot="1">
      <c r="A55" s="84"/>
      <c r="B55" s="85"/>
      <c r="C55" s="86"/>
      <c r="D55" s="87"/>
      <c r="E55" s="88"/>
      <c r="F55" s="3"/>
    </row>
    <row r="56" spans="1:6" ht="21" thickTop="1">
      <c r="A56" s="110" t="s">
        <v>31</v>
      </c>
      <c r="B56" s="110"/>
      <c r="C56" s="110"/>
      <c r="D56" s="110"/>
      <c r="E56" s="110"/>
      <c r="F56" s="3"/>
    </row>
    <row r="57" spans="1:6" ht="15.75">
      <c r="A57" s="106" t="s">
        <v>32</v>
      </c>
      <c r="B57" s="106"/>
      <c r="C57" s="106"/>
      <c r="D57" s="106"/>
      <c r="E57" s="106"/>
      <c r="F57" s="3"/>
    </row>
    <row r="58" spans="1:6" ht="15.75">
      <c r="A58" s="106" t="s">
        <v>71</v>
      </c>
      <c r="B58" s="106"/>
      <c r="C58" s="106"/>
      <c r="D58" s="106"/>
      <c r="E58" s="106"/>
      <c r="F58" s="3"/>
    </row>
    <row r="59" spans="1:6" ht="13.5" thickBot="1">
      <c r="A59" s="107" t="s">
        <v>33</v>
      </c>
      <c r="B59" s="107"/>
      <c r="C59" s="107"/>
      <c r="D59" s="107"/>
      <c r="E59" s="107"/>
      <c r="F59" s="3"/>
    </row>
    <row r="60" spans="1:6" ht="13.5" thickTop="1">
      <c r="A60" s="11"/>
      <c r="B60" s="40"/>
      <c r="C60" s="11"/>
      <c r="D60" s="11"/>
      <c r="E60" s="22"/>
      <c r="F60" s="3"/>
    </row>
    <row r="61" spans="1:6" ht="12.75">
      <c r="A61" s="90"/>
      <c r="B61" s="89" t="s">
        <v>30</v>
      </c>
      <c r="C61" s="92">
        <v>2008</v>
      </c>
      <c r="D61" s="92">
        <v>2007</v>
      </c>
      <c r="E61" s="91" t="str">
        <f>E6</f>
        <v>Variación</v>
      </c>
      <c r="F61" s="3"/>
    </row>
    <row r="62" spans="1:6" ht="12.75">
      <c r="A62" s="10" t="s">
        <v>34</v>
      </c>
      <c r="B62" s="40"/>
      <c r="C62" s="11"/>
      <c r="D62" s="11"/>
      <c r="E62" s="22"/>
      <c r="F62" s="3"/>
    </row>
    <row r="63" spans="1:6" ht="12.75">
      <c r="A63" s="12" t="s">
        <v>51</v>
      </c>
      <c r="B63" s="41"/>
      <c r="C63" s="16"/>
      <c r="D63" s="16"/>
      <c r="E63" s="14"/>
      <c r="F63" s="3"/>
    </row>
    <row r="64" spans="1:6" ht="12.75">
      <c r="A64" s="13" t="s">
        <v>35</v>
      </c>
      <c r="B64" s="41">
        <v>6</v>
      </c>
      <c r="C64" s="37">
        <v>8373.94</v>
      </c>
      <c r="D64" s="37">
        <v>6170.71</v>
      </c>
      <c r="E64" s="37">
        <f aca="true" t="shared" si="3" ref="E64:E73">C64-D64</f>
        <v>2203.2300000000005</v>
      </c>
      <c r="F64" s="3">
        <f>C64-D64</f>
        <v>2203.2300000000005</v>
      </c>
    </row>
    <row r="65" spans="1:6" ht="12.75">
      <c r="A65" s="13" t="s">
        <v>36</v>
      </c>
      <c r="B65" s="41"/>
      <c r="C65" s="14">
        <v>20000</v>
      </c>
      <c r="D65" s="14">
        <v>25000</v>
      </c>
      <c r="E65" s="14">
        <f t="shared" si="3"/>
        <v>-5000</v>
      </c>
      <c r="F65" s="3">
        <f aca="true" t="shared" si="4" ref="F65:F84">C65-D65</f>
        <v>-5000</v>
      </c>
    </row>
    <row r="66" spans="1:6" ht="12.75">
      <c r="A66" s="13" t="s">
        <v>37</v>
      </c>
      <c r="B66" s="41"/>
      <c r="C66" s="14">
        <v>0</v>
      </c>
      <c r="D66" s="14">
        <v>12043.7</v>
      </c>
      <c r="E66" s="14">
        <f t="shared" si="3"/>
        <v>-12043.7</v>
      </c>
      <c r="F66" s="3">
        <f t="shared" si="4"/>
        <v>-12043.7</v>
      </c>
    </row>
    <row r="67" spans="1:6" ht="12.75">
      <c r="A67" s="13" t="s">
        <v>38</v>
      </c>
      <c r="B67" s="41"/>
      <c r="C67" s="14">
        <v>2009.94</v>
      </c>
      <c r="D67" s="14">
        <v>2978.69</v>
      </c>
      <c r="E67" s="14">
        <f t="shared" si="3"/>
        <v>-968.75</v>
      </c>
      <c r="F67" s="3">
        <f t="shared" si="4"/>
        <v>-968.75</v>
      </c>
    </row>
    <row r="68" spans="1:11" ht="12.75">
      <c r="A68" s="13" t="s">
        <v>39</v>
      </c>
      <c r="B68" s="41"/>
      <c r="C68" s="14">
        <v>592.68</v>
      </c>
      <c r="D68" s="14">
        <v>236.68</v>
      </c>
      <c r="E68" s="14">
        <f t="shared" si="3"/>
        <v>355.99999999999994</v>
      </c>
      <c r="F68" s="3">
        <f t="shared" si="4"/>
        <v>355.99999999999994</v>
      </c>
      <c r="H68" s="109"/>
      <c r="I68" s="109"/>
      <c r="J68" s="109"/>
      <c r="K68" s="109"/>
    </row>
    <row r="69" spans="1:6" ht="12.75">
      <c r="A69" s="13" t="s">
        <v>41</v>
      </c>
      <c r="B69" s="41"/>
      <c r="C69" s="14">
        <v>0</v>
      </c>
      <c r="D69" s="14">
        <v>2239.27</v>
      </c>
      <c r="E69" s="14">
        <f t="shared" si="3"/>
        <v>-2239.27</v>
      </c>
      <c r="F69" s="3">
        <f t="shared" si="4"/>
        <v>-2239.27</v>
      </c>
    </row>
    <row r="70" spans="1:6" ht="12.75">
      <c r="A70" s="13" t="s">
        <v>40</v>
      </c>
      <c r="B70" s="41"/>
      <c r="C70" s="14">
        <v>11632.45</v>
      </c>
      <c r="D70" s="14">
        <v>0</v>
      </c>
      <c r="E70" s="14">
        <f t="shared" si="3"/>
        <v>11632.45</v>
      </c>
      <c r="F70" s="3">
        <f t="shared" si="4"/>
        <v>11632.45</v>
      </c>
    </row>
    <row r="71" spans="1:6" ht="12.75">
      <c r="A71" s="13" t="s">
        <v>54</v>
      </c>
      <c r="B71" s="41">
        <v>7</v>
      </c>
      <c r="C71" s="14">
        <f>(160267.51/5)</f>
        <v>32053.502</v>
      </c>
      <c r="D71" s="14">
        <f>(150532.68/5)</f>
        <v>30106.536</v>
      </c>
      <c r="E71" s="14">
        <f t="shared" si="3"/>
        <v>1946.9660000000003</v>
      </c>
      <c r="F71" s="3">
        <f t="shared" si="4"/>
        <v>1946.9660000000003</v>
      </c>
    </row>
    <row r="72" spans="1:6" ht="12.75">
      <c r="A72" s="13" t="s">
        <v>54</v>
      </c>
      <c r="B72" s="41">
        <v>7</v>
      </c>
      <c r="C72" s="14">
        <f>(52500/3)</f>
        <v>17500</v>
      </c>
      <c r="D72" s="14">
        <f>(45000/3)</f>
        <v>15000</v>
      </c>
      <c r="E72" s="14">
        <f t="shared" si="3"/>
        <v>2500</v>
      </c>
      <c r="F72" s="3">
        <f t="shared" si="4"/>
        <v>2500</v>
      </c>
    </row>
    <row r="73" spans="1:6" ht="12.75">
      <c r="A73" s="19" t="s">
        <v>42</v>
      </c>
      <c r="B73" s="44"/>
      <c r="C73" s="25">
        <f>SUM(C64:C72)</f>
        <v>92162.512</v>
      </c>
      <c r="D73" s="25">
        <f>SUM(D64:D72)</f>
        <v>93775.58600000001</v>
      </c>
      <c r="E73" s="25">
        <f t="shared" si="3"/>
        <v>-1613.0740000000078</v>
      </c>
      <c r="F73" s="3">
        <f t="shared" si="4"/>
        <v>-1613.0740000000078</v>
      </c>
    </row>
    <row r="74" spans="1:6" ht="12.75">
      <c r="A74" s="17"/>
      <c r="B74" s="42"/>
      <c r="C74" s="18"/>
      <c r="D74" s="18"/>
      <c r="E74" s="18"/>
      <c r="F74" s="3"/>
    </row>
    <row r="75" spans="1:6" ht="12.75">
      <c r="A75" s="12" t="s">
        <v>50</v>
      </c>
      <c r="B75" s="41"/>
      <c r="C75" s="14"/>
      <c r="D75" s="14"/>
      <c r="E75" s="14"/>
      <c r="F75" s="3"/>
    </row>
    <row r="76" spans="1:6" ht="12.75">
      <c r="A76" s="13" t="s">
        <v>53</v>
      </c>
      <c r="B76" s="41"/>
      <c r="C76" s="14">
        <v>49358.93</v>
      </c>
      <c r="D76" s="14">
        <v>55021.68</v>
      </c>
      <c r="E76" s="14">
        <f>C76-D76</f>
        <v>-5662.75</v>
      </c>
      <c r="F76" s="3">
        <f t="shared" si="4"/>
        <v>-5662.75</v>
      </c>
    </row>
    <row r="77" spans="1:18" ht="12.75">
      <c r="A77" s="13" t="s">
        <v>54</v>
      </c>
      <c r="B77" s="41">
        <v>7</v>
      </c>
      <c r="C77" s="14">
        <f>(160267.51/5)*4</f>
        <v>128214.008</v>
      </c>
      <c r="D77" s="14">
        <f>(150532.68/5)*4</f>
        <v>120426.144</v>
      </c>
      <c r="E77" s="14">
        <f>C77-D77</f>
        <v>7787.864000000001</v>
      </c>
      <c r="F77" s="3">
        <f t="shared" si="4"/>
        <v>7787.864000000001</v>
      </c>
      <c r="R77" s="3">
        <f>C71+C72+C77+C78</f>
        <v>212767.51</v>
      </c>
    </row>
    <row r="78" spans="1:6" ht="12.75">
      <c r="A78" s="13" t="s">
        <v>54</v>
      </c>
      <c r="B78" s="41">
        <v>7</v>
      </c>
      <c r="C78" s="14">
        <f>(52500/3)*2</f>
        <v>35000</v>
      </c>
      <c r="D78" s="14">
        <f>(45000/3)*2</f>
        <v>30000</v>
      </c>
      <c r="E78" s="14">
        <f>C78-D78</f>
        <v>5000</v>
      </c>
      <c r="F78" s="3">
        <f t="shared" si="4"/>
        <v>5000</v>
      </c>
    </row>
    <row r="79" spans="1:6" ht="12.75">
      <c r="A79" s="19" t="s">
        <v>43</v>
      </c>
      <c r="B79" s="44"/>
      <c r="C79" s="25">
        <f>SUM(C76:C78)</f>
        <v>212572.938</v>
      </c>
      <c r="D79" s="25">
        <f>SUM(D76:D78)</f>
        <v>205447.824</v>
      </c>
      <c r="E79" s="18">
        <f>C79-D79</f>
        <v>7125.114000000001</v>
      </c>
      <c r="F79" s="3">
        <f t="shared" si="4"/>
        <v>7125.114000000001</v>
      </c>
    </row>
    <row r="80" spans="1:6" ht="12.75">
      <c r="A80" s="20" t="s">
        <v>46</v>
      </c>
      <c r="B80" s="10"/>
      <c r="C80" s="38">
        <f>C73+C79</f>
        <v>304735.45</v>
      </c>
      <c r="D80" s="38">
        <f>D73+D79</f>
        <v>299223.41000000003</v>
      </c>
      <c r="E80" s="38">
        <f>C80-D80</f>
        <v>5512.039999999979</v>
      </c>
      <c r="F80" s="3">
        <f t="shared" si="4"/>
        <v>5512.039999999979</v>
      </c>
    </row>
    <row r="81" spans="1:6" ht="12.75">
      <c r="A81" s="11"/>
      <c r="B81" s="40"/>
      <c r="C81" s="22"/>
      <c r="D81" s="22"/>
      <c r="E81" s="22"/>
      <c r="F81" s="3"/>
    </row>
    <row r="82" spans="1:6" ht="12.75">
      <c r="A82" s="10" t="s">
        <v>44</v>
      </c>
      <c r="B82" s="40"/>
      <c r="C82" s="22"/>
      <c r="D82" s="22"/>
      <c r="E82" s="22"/>
      <c r="F82" s="3"/>
    </row>
    <row r="83" spans="1:6" ht="12.75">
      <c r="A83" s="11" t="s">
        <v>45</v>
      </c>
      <c r="B83" s="44"/>
      <c r="C83" s="23">
        <v>116273.03</v>
      </c>
      <c r="D83" s="23">
        <v>112465.65</v>
      </c>
      <c r="E83" s="18">
        <f>C83-D83</f>
        <v>3807.3800000000047</v>
      </c>
      <c r="F83" s="3">
        <f t="shared" si="4"/>
        <v>3807.3800000000047</v>
      </c>
    </row>
    <row r="84" spans="1:6" ht="13.5" thickBot="1">
      <c r="A84" s="20" t="s">
        <v>47</v>
      </c>
      <c r="B84" s="10"/>
      <c r="C84" s="39">
        <f>C80+C83</f>
        <v>421008.48</v>
      </c>
      <c r="D84" s="39">
        <f>D80+D83</f>
        <v>411689.06000000006</v>
      </c>
      <c r="E84" s="39">
        <f>C84-D84</f>
        <v>9319.419999999925</v>
      </c>
      <c r="F84" s="3">
        <f t="shared" si="4"/>
        <v>9319.419999999925</v>
      </c>
    </row>
    <row r="85" spans="1:5" ht="13.5" thickTop="1">
      <c r="A85" s="11"/>
      <c r="B85" s="40"/>
      <c r="C85" s="21"/>
      <c r="D85" s="21"/>
      <c r="E85" s="11"/>
    </row>
    <row r="86" spans="1:5" ht="12.75">
      <c r="A86" s="11"/>
      <c r="B86" s="40"/>
      <c r="C86" s="21"/>
      <c r="D86" s="21"/>
      <c r="E86" s="11"/>
    </row>
    <row r="87" spans="1:5" ht="12.75">
      <c r="A87" s="104" t="s">
        <v>56</v>
      </c>
      <c r="B87" s="105"/>
      <c r="C87" s="105"/>
      <c r="D87" s="105"/>
      <c r="E87" s="105"/>
    </row>
    <row r="88" spans="1:5" ht="12.75">
      <c r="A88" s="105"/>
      <c r="B88" s="105"/>
      <c r="C88" s="105"/>
      <c r="D88" s="105"/>
      <c r="E88" s="105"/>
    </row>
    <row r="89" spans="1:5" ht="12.75" hidden="1">
      <c r="A89" s="4"/>
      <c r="B89" s="7"/>
      <c r="C89" s="5"/>
      <c r="D89" s="5"/>
      <c r="E89" s="4"/>
    </row>
    <row r="90" spans="1:5" ht="12.75" hidden="1">
      <c r="A90" s="4"/>
      <c r="B90" s="7"/>
      <c r="C90" s="5"/>
      <c r="D90" s="5"/>
      <c r="E90" s="4"/>
    </row>
    <row r="91" spans="1:6" ht="12.75" hidden="1">
      <c r="A91" s="4"/>
      <c r="B91" s="7"/>
      <c r="C91" s="5">
        <f>C79</f>
        <v>212572.938</v>
      </c>
      <c r="D91" s="5">
        <f>D79</f>
        <v>205447.824</v>
      </c>
      <c r="E91" s="6">
        <f>C80</f>
        <v>304735.45</v>
      </c>
      <c r="F91" s="6">
        <f>D80</f>
        <v>299223.41000000003</v>
      </c>
    </row>
    <row r="92" spans="1:5" ht="12.75" hidden="1">
      <c r="A92" s="4"/>
      <c r="B92" s="7"/>
      <c r="C92" s="5">
        <f>C83</f>
        <v>116273.03</v>
      </c>
      <c r="D92" s="5">
        <f>D83</f>
        <v>112465.65</v>
      </c>
      <c r="E92" s="4"/>
    </row>
    <row r="93" spans="1:6" ht="12.75" hidden="1">
      <c r="A93" s="4"/>
      <c r="B93" s="7"/>
      <c r="C93" s="5">
        <f>C91/C92</f>
        <v>1.8282222283189833</v>
      </c>
      <c r="D93" s="5">
        <f>D91/D92</f>
        <v>1.8267606509187473</v>
      </c>
      <c r="E93" s="100">
        <f>E91/C92</f>
        <v>2.6208610027622057</v>
      </c>
      <c r="F93" s="100">
        <f>F91/D92</f>
        <v>2.660576006985244</v>
      </c>
    </row>
    <row r="94" spans="1:5" ht="13.5" hidden="1" thickBot="1">
      <c r="A94" s="4"/>
      <c r="B94" s="7"/>
      <c r="C94" s="5"/>
      <c r="D94" s="5"/>
      <c r="E94" s="4"/>
    </row>
    <row r="95" spans="1:10" ht="12.75" hidden="1">
      <c r="A95" s="4"/>
      <c r="B95" s="7"/>
      <c r="C95" s="5"/>
      <c r="D95" s="5"/>
      <c r="E95" s="4"/>
      <c r="G95" s="61">
        <v>400</v>
      </c>
      <c r="H95" s="62">
        <v>0</v>
      </c>
      <c r="I95" s="62">
        <v>0</v>
      </c>
      <c r="J95" s="63">
        <v>400</v>
      </c>
    </row>
    <row r="96" spans="1:10" ht="12.75" hidden="1">
      <c r="A96" s="4"/>
      <c r="B96" s="7"/>
      <c r="C96" s="5"/>
      <c r="D96" s="5"/>
      <c r="E96" s="4"/>
      <c r="G96" s="64">
        <v>6040.09</v>
      </c>
      <c r="H96" s="53">
        <v>400</v>
      </c>
      <c r="I96" s="53">
        <v>0</v>
      </c>
      <c r="J96" s="57">
        <v>6440.09</v>
      </c>
    </row>
    <row r="97" spans="1:10" ht="13.5" hidden="1" thickBot="1">
      <c r="A97" s="4"/>
      <c r="B97" s="7"/>
      <c r="C97" s="5"/>
      <c r="D97" s="5"/>
      <c r="E97" s="4"/>
      <c r="G97" s="60">
        <v>1613.97</v>
      </c>
      <c r="H97" s="60">
        <v>1613.97</v>
      </c>
      <c r="I97" s="55">
        <v>0</v>
      </c>
      <c r="J97" s="59">
        <v>3605.65</v>
      </c>
    </row>
    <row r="98" spans="1:10" ht="12.75" hidden="1">
      <c r="A98" s="4"/>
      <c r="B98" s="7"/>
      <c r="C98" s="5"/>
      <c r="D98" s="5"/>
      <c r="E98" s="4"/>
      <c r="G98" s="1">
        <f>SUM(G95:G97)</f>
        <v>8054.06</v>
      </c>
      <c r="H98" s="1">
        <f>SUM(H95:H97)</f>
        <v>2013.97</v>
      </c>
      <c r="I98" s="1">
        <f>SUM(I95:I97)</f>
        <v>0</v>
      </c>
      <c r="J98" s="1">
        <f>SUM(J95:J97)</f>
        <v>10445.74</v>
      </c>
    </row>
    <row r="99" spans="1:5" ht="12.75" hidden="1">
      <c r="A99" s="4"/>
      <c r="B99" s="7"/>
      <c r="C99" s="5"/>
      <c r="D99" s="5"/>
      <c r="E99" s="4"/>
    </row>
    <row r="100" spans="1:5" ht="13.5" hidden="1" thickBot="1">
      <c r="A100" s="4"/>
      <c r="B100" s="7"/>
      <c r="C100" s="5"/>
      <c r="D100" s="5"/>
      <c r="E100" s="4"/>
    </row>
    <row r="101" spans="1:10" ht="12.75" hidden="1">
      <c r="A101" s="4"/>
      <c r="B101" s="7"/>
      <c r="C101" s="5"/>
      <c r="D101" s="5"/>
      <c r="E101" s="4"/>
      <c r="G101" s="61">
        <v>45000</v>
      </c>
      <c r="H101" s="51">
        <v>0</v>
      </c>
      <c r="I101" s="51"/>
      <c r="J101" s="63">
        <v>45000</v>
      </c>
    </row>
    <row r="102" spans="1:10" ht="12.75" hidden="1">
      <c r="A102" s="4"/>
      <c r="B102" s="7"/>
      <c r="C102" s="5"/>
      <c r="D102" s="5"/>
      <c r="E102" s="4"/>
      <c r="G102" s="56">
        <v>45000</v>
      </c>
      <c r="H102" s="52">
        <v>0</v>
      </c>
      <c r="I102" s="52"/>
      <c r="J102" s="57">
        <v>5800</v>
      </c>
    </row>
    <row r="103" spans="1:10" ht="12.75" hidden="1">
      <c r="A103" s="4"/>
      <c r="B103" s="7"/>
      <c r="C103" s="5"/>
      <c r="D103" s="5"/>
      <c r="E103" s="4"/>
      <c r="G103" s="56">
        <v>5800</v>
      </c>
      <c r="H103" s="52">
        <v>0</v>
      </c>
      <c r="I103" s="52"/>
      <c r="J103" s="57">
        <v>2057.38</v>
      </c>
    </row>
    <row r="104" spans="1:10" ht="13.5" hidden="1" thickBot="1">
      <c r="A104" s="4"/>
      <c r="B104" s="7"/>
      <c r="C104" s="5"/>
      <c r="D104" s="5"/>
      <c r="E104" s="4"/>
      <c r="G104" s="58">
        <v>2057.38</v>
      </c>
      <c r="H104" s="54">
        <v>0</v>
      </c>
      <c r="I104" s="54"/>
      <c r="J104" s="59">
        <v>2104.7</v>
      </c>
    </row>
    <row r="105" spans="1:10" ht="12.75" hidden="1">
      <c r="A105" s="4"/>
      <c r="B105" s="7"/>
      <c r="C105" s="5"/>
      <c r="D105" s="5"/>
      <c r="E105" s="4"/>
      <c r="J105" s="1">
        <f>SUM(J101:J104)</f>
        <v>54962.079999999994</v>
      </c>
    </row>
    <row r="106" spans="1:5" ht="12.75" hidden="1">
      <c r="A106" s="4"/>
      <c r="B106" s="7"/>
      <c r="C106" s="5"/>
      <c r="D106" s="5"/>
      <c r="E106" s="4"/>
    </row>
    <row r="107" spans="1:5" ht="13.5" hidden="1" thickBot="1">
      <c r="A107" s="4"/>
      <c r="B107" s="7"/>
      <c r="C107" s="5"/>
      <c r="D107" s="5"/>
      <c r="E107" s="4"/>
    </row>
    <row r="108" spans="1:6" ht="32.25" hidden="1" thickBot="1">
      <c r="A108" s="65"/>
      <c r="B108" s="66" t="s">
        <v>57</v>
      </c>
      <c r="C108" s="77" t="s">
        <v>58</v>
      </c>
      <c r="D108" s="66" t="s">
        <v>59</v>
      </c>
      <c r="E108" s="66" t="s">
        <v>60</v>
      </c>
      <c r="F108" s="66" t="s">
        <v>61</v>
      </c>
    </row>
    <row r="109" spans="1:8" ht="16.5" hidden="1" thickBot="1">
      <c r="A109" s="67" t="s">
        <v>62</v>
      </c>
      <c r="B109" s="76">
        <v>10445.74</v>
      </c>
      <c r="C109" s="78">
        <f>H109</f>
        <v>3.4993576328723477</v>
      </c>
      <c r="D109" s="73">
        <f>$D$116*G109</f>
        <v>365.5338</v>
      </c>
      <c r="E109" s="83">
        <f>$E$116*G109</f>
        <v>-2001.9234</v>
      </c>
      <c r="F109" s="73">
        <f>B109+E109</f>
        <v>8443.8166</v>
      </c>
      <c r="G109" s="74">
        <v>0.03</v>
      </c>
      <c r="H109" s="75">
        <f>(D109*100)/B109</f>
        <v>3.4993576328723477</v>
      </c>
    </row>
    <row r="110" spans="1:8" ht="16.5" hidden="1" thickBot="1">
      <c r="A110" s="70" t="s">
        <v>63</v>
      </c>
      <c r="B110" s="76">
        <v>54962.08</v>
      </c>
      <c r="C110" s="78">
        <f aca="true" t="shared" si="5" ref="C110:C115">H110</f>
        <v>4.877146570872134</v>
      </c>
      <c r="D110" s="73">
        <f aca="true" t="shared" si="6" ref="D110:D115">$D$116*G110</f>
        <v>2680.5811999999996</v>
      </c>
      <c r="E110" s="83">
        <f aca="true" t="shared" si="7" ref="E110:E115">$E$116*G110</f>
        <v>-14680.7716</v>
      </c>
      <c r="F110" s="73">
        <f aca="true" t="shared" si="8" ref="F110:F116">B110+E110</f>
        <v>40281.3084</v>
      </c>
      <c r="G110" s="74">
        <v>0.22</v>
      </c>
      <c r="H110" s="75">
        <f aca="true" t="shared" si="9" ref="H110:H115">(D110*100)/B110</f>
        <v>4.877146570872134</v>
      </c>
    </row>
    <row r="111" spans="1:8" ht="16.5" hidden="1" thickBot="1">
      <c r="A111" s="71" t="s">
        <v>12</v>
      </c>
      <c r="B111" s="55">
        <v>240501.56</v>
      </c>
      <c r="C111" s="78">
        <f t="shared" si="5"/>
        <v>3.2930759368047338</v>
      </c>
      <c r="D111" s="73">
        <f t="shared" si="6"/>
        <v>7919.898999999999</v>
      </c>
      <c r="E111" s="83">
        <f t="shared" si="7"/>
        <v>-43375.007</v>
      </c>
      <c r="F111" s="73">
        <f t="shared" si="8"/>
        <v>197126.553</v>
      </c>
      <c r="G111" s="74">
        <v>0.65</v>
      </c>
      <c r="H111" s="75">
        <f t="shared" si="9"/>
        <v>3.2930759368047338</v>
      </c>
    </row>
    <row r="112" spans="1:8" ht="16.5" hidden="1" thickBot="1">
      <c r="A112" s="71" t="s">
        <v>21</v>
      </c>
      <c r="B112" s="55">
        <v>5544.66</v>
      </c>
      <c r="C112" s="78">
        <f t="shared" si="5"/>
        <v>3.2962688424538205</v>
      </c>
      <c r="D112" s="73">
        <f t="shared" si="6"/>
        <v>182.7669</v>
      </c>
      <c r="E112" s="83">
        <f t="shared" si="7"/>
        <v>-1000.9617</v>
      </c>
      <c r="F112" s="73">
        <f t="shared" si="8"/>
        <v>4543.6983</v>
      </c>
      <c r="G112" s="74">
        <v>0.015</v>
      </c>
      <c r="H112" s="75">
        <f t="shared" si="9"/>
        <v>3.2962688424538205</v>
      </c>
    </row>
    <row r="113" spans="1:8" ht="16.5" hidden="1" thickBot="1">
      <c r="A113" s="71" t="s">
        <v>16</v>
      </c>
      <c r="B113" s="55">
        <v>12309.52</v>
      </c>
      <c r="C113" s="78">
        <f t="shared" si="5"/>
        <v>3.95936153481208</v>
      </c>
      <c r="D113" s="73">
        <f t="shared" si="6"/>
        <v>487.3784</v>
      </c>
      <c r="E113" s="83">
        <f t="shared" si="7"/>
        <v>-2669.2312</v>
      </c>
      <c r="F113" s="73">
        <f t="shared" si="8"/>
        <v>9640.2888</v>
      </c>
      <c r="G113" s="74">
        <v>0.04</v>
      </c>
      <c r="H113" s="75">
        <f t="shared" si="9"/>
        <v>3.95936153481208</v>
      </c>
    </row>
    <row r="114" spans="1:8" ht="16.5" hidden="1" thickBot="1">
      <c r="A114" s="71" t="s">
        <v>15</v>
      </c>
      <c r="B114" s="55">
        <v>14306.53</v>
      </c>
      <c r="C114" s="78">
        <f t="shared" si="5"/>
        <v>3.406684919403936</v>
      </c>
      <c r="D114" s="73">
        <f t="shared" si="6"/>
        <v>487.3784</v>
      </c>
      <c r="E114" s="83">
        <f t="shared" si="7"/>
        <v>-2669.2312</v>
      </c>
      <c r="F114" s="73">
        <f t="shared" si="8"/>
        <v>11637.2988</v>
      </c>
      <c r="G114" s="74">
        <v>0.04</v>
      </c>
      <c r="H114" s="75">
        <f t="shared" si="9"/>
        <v>3.406684919403936</v>
      </c>
    </row>
    <row r="115" spans="1:8" ht="16.5" hidden="1" thickBot="1">
      <c r="A115" s="71" t="s">
        <v>13</v>
      </c>
      <c r="B115" s="55">
        <v>1725</v>
      </c>
      <c r="C115" s="78">
        <f t="shared" si="5"/>
        <v>5.297591304347826</v>
      </c>
      <c r="D115" s="80">
        <f t="shared" si="6"/>
        <v>91.38345</v>
      </c>
      <c r="E115" s="83">
        <f t="shared" si="7"/>
        <v>-500.48085</v>
      </c>
      <c r="F115" s="73">
        <f t="shared" si="8"/>
        <v>1224.51915</v>
      </c>
      <c r="G115" s="74">
        <v>0.0075</v>
      </c>
      <c r="H115" s="75">
        <f t="shared" si="9"/>
        <v>5.297591304347826</v>
      </c>
    </row>
    <row r="116" spans="1:7" ht="16.5" hidden="1" thickBot="1">
      <c r="A116" s="71" t="s">
        <v>64</v>
      </c>
      <c r="B116" s="55">
        <f>SUM(B109:B115)</f>
        <v>339795.09</v>
      </c>
      <c r="C116" s="79"/>
      <c r="D116" s="82">
        <v>12184.46</v>
      </c>
      <c r="E116" s="81">
        <v>-66730.78</v>
      </c>
      <c r="F116" s="73">
        <f t="shared" si="8"/>
        <v>273064.31000000006</v>
      </c>
      <c r="G116" s="74">
        <f>SUM(G109:G115)</f>
        <v>1.0025000000000002</v>
      </c>
    </row>
    <row r="117" spans="1:6" ht="16.5" hidden="1" thickBot="1">
      <c r="A117" s="70" t="s">
        <v>65</v>
      </c>
      <c r="B117" s="68">
        <v>7353</v>
      </c>
      <c r="C117" s="69"/>
      <c r="D117" s="73"/>
      <c r="E117" s="73"/>
      <c r="F117" s="68">
        <v>7353</v>
      </c>
    </row>
    <row r="118" spans="1:7" ht="16.5" hidden="1" thickBot="1">
      <c r="A118" s="72" t="s">
        <v>66</v>
      </c>
      <c r="B118" s="73">
        <f>SUM(B116:B117)</f>
        <v>347148.09</v>
      </c>
      <c r="C118" s="69"/>
      <c r="D118" s="73">
        <f>D116</f>
        <v>12184.46</v>
      </c>
      <c r="E118" s="83">
        <f>SUM(E116:E117)</f>
        <v>-66730.78</v>
      </c>
      <c r="F118" s="32">
        <f>C36</f>
        <v>280417.31000000006</v>
      </c>
      <c r="G118" s="1">
        <f>F116+F117</f>
        <v>280417.31000000006</v>
      </c>
    </row>
    <row r="119" ht="12.75" hidden="1">
      <c r="F119" s="1">
        <f>B118+E118</f>
        <v>280417.31000000006</v>
      </c>
    </row>
    <row r="120" ht="12.75" hidden="1"/>
    <row r="121" ht="12.75" hidden="1"/>
    <row r="122" ht="12.75" hidden="1"/>
    <row r="123" spans="4:7" ht="12.75" hidden="1">
      <c r="D123" s="1">
        <v>160267.51</v>
      </c>
      <c r="E123" s="1">
        <f>D123/5</f>
        <v>32053.502</v>
      </c>
      <c r="F123" s="1">
        <f>E123/12</f>
        <v>2671.1251666666667</v>
      </c>
      <c r="G123" s="1"/>
    </row>
    <row r="124" spans="4:7" ht="12.75" hidden="1">
      <c r="D124" s="1">
        <v>52500</v>
      </c>
      <c r="E124" s="1">
        <f>D124/3</f>
        <v>17500</v>
      </c>
      <c r="F124" s="1">
        <f>E124/12</f>
        <v>1458.3333333333333</v>
      </c>
      <c r="G124" s="1"/>
    </row>
    <row r="125" spans="4:7" ht="12.75" hidden="1">
      <c r="D125" s="1"/>
      <c r="E125" s="1"/>
      <c r="F125" s="1"/>
      <c r="G125" s="1"/>
    </row>
    <row r="126" spans="4:7" ht="12.75" hidden="1">
      <c r="D126" s="1"/>
      <c r="E126" s="1"/>
      <c r="F126" s="1"/>
      <c r="G126" s="1"/>
    </row>
    <row r="127" spans="4:7" ht="12.75" hidden="1">
      <c r="D127" s="1"/>
      <c r="E127" s="1"/>
      <c r="F127" s="1"/>
      <c r="G127" s="1"/>
    </row>
    <row r="128" spans="4:7" ht="12.75" hidden="1">
      <c r="D128" s="98">
        <v>800667.86</v>
      </c>
      <c r="E128" s="98">
        <v>885804.64</v>
      </c>
      <c r="F128" s="1"/>
      <c r="G128" s="1"/>
    </row>
    <row r="129" spans="4:7" ht="12.75" hidden="1">
      <c r="D129" s="99">
        <v>88090.39</v>
      </c>
      <c r="E129" s="99">
        <v>86273.33</v>
      </c>
      <c r="F129" s="1"/>
      <c r="G129" s="1"/>
    </row>
    <row r="130" spans="4:7" ht="12.75" hidden="1">
      <c r="D130" s="99">
        <v>92162.51</v>
      </c>
      <c r="E130" s="99">
        <v>93775.59</v>
      </c>
      <c r="F130" s="1"/>
      <c r="G130" s="1"/>
    </row>
    <row r="131" spans="4:7" ht="12.75" hidden="1">
      <c r="D131" s="1">
        <f>SUM(D129:D130)</f>
        <v>180252.9</v>
      </c>
      <c r="E131" s="1">
        <f>SUM(E129:E130)</f>
        <v>180048.91999999998</v>
      </c>
      <c r="F131" s="1"/>
      <c r="G131" s="1"/>
    </row>
    <row r="132" spans="2:7" ht="12.75" hidden="1">
      <c r="B132" s="2" t="s">
        <v>70</v>
      </c>
      <c r="D132" s="1">
        <f>D128/D131</f>
        <v>4.441913888764065</v>
      </c>
      <c r="E132" s="1">
        <f>E128/E131</f>
        <v>4.919799796633049</v>
      </c>
      <c r="F132" s="1"/>
      <c r="G132" s="1"/>
    </row>
    <row r="133" spans="4:7" ht="12.75" hidden="1">
      <c r="D133" s="1"/>
      <c r="E133" s="1"/>
      <c r="F133" s="1"/>
      <c r="G133" s="1"/>
    </row>
    <row r="134" spans="4:7" ht="12.75" hidden="1">
      <c r="D134" s="1"/>
      <c r="E134" s="1"/>
      <c r="F134" s="1"/>
      <c r="G134" s="1"/>
    </row>
    <row r="135" spans="4:7" ht="12.75" hidden="1">
      <c r="D135" s="1"/>
      <c r="E135" s="1"/>
      <c r="F135" s="1"/>
      <c r="G135" s="1"/>
    </row>
    <row r="136" spans="4:7" ht="12.75" hidden="1">
      <c r="D136" s="1"/>
      <c r="E136" s="1"/>
      <c r="F136" s="1"/>
      <c r="G136" s="1"/>
    </row>
    <row r="137" spans="4:7" ht="12.75" hidden="1">
      <c r="D137" s="1"/>
      <c r="E137" s="1"/>
      <c r="F137" s="1"/>
      <c r="G137" s="1"/>
    </row>
    <row r="138" spans="4:7" ht="12.75" hidden="1">
      <c r="D138" s="1"/>
      <c r="E138" s="1"/>
      <c r="F138" s="1"/>
      <c r="G138" s="1"/>
    </row>
    <row r="139" spans="4:7" ht="12.75" hidden="1">
      <c r="D139" s="1"/>
      <c r="E139" s="1"/>
      <c r="F139" s="1"/>
      <c r="G139" s="1"/>
    </row>
    <row r="140" spans="4:7" ht="12.75" hidden="1">
      <c r="D140" s="1"/>
      <c r="E140" s="1"/>
      <c r="F140" s="1"/>
      <c r="G140" s="1"/>
    </row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</sheetData>
  <sheetProtection/>
  <mergeCells count="11">
    <mergeCell ref="H68:K68"/>
    <mergeCell ref="A56:E56"/>
    <mergeCell ref="A47:E48"/>
    <mergeCell ref="A4:E4"/>
    <mergeCell ref="A3:E3"/>
    <mergeCell ref="A87:E88"/>
    <mergeCell ref="A57:E57"/>
    <mergeCell ref="A58:E58"/>
    <mergeCell ref="A59:E59"/>
    <mergeCell ref="A2:E2"/>
    <mergeCell ref="A1:E1"/>
  </mergeCells>
  <printOptions horizontalCentered="1"/>
  <pageMargins left="0.5118110236220472" right="0.4330708661417323" top="0.65" bottom="0.984251968503937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Flia. Guevara</dc:creator>
  <cp:keywords/>
  <dc:description/>
  <cp:lastModifiedBy>Familia Guevara</cp:lastModifiedBy>
  <cp:lastPrinted>2006-06-29T14:54:23Z</cp:lastPrinted>
  <dcterms:created xsi:type="dcterms:W3CDTF">2006-05-28T20:11:41Z</dcterms:created>
  <dcterms:modified xsi:type="dcterms:W3CDTF">2009-02-21T02:52:48Z</dcterms:modified>
  <cp:category/>
  <cp:version/>
  <cp:contentType/>
  <cp:contentStatus/>
</cp:coreProperties>
</file>